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20" yWindow="615" windowWidth="24060" windowHeight="10965" activeTab="1"/>
  </bookViews>
  <sheets>
    <sheet name="List of Appendix Tables" sheetId="1" r:id="rId1"/>
    <sheet name="A-1" sheetId="28" r:id="rId2"/>
    <sheet name="A-2" sheetId="29" r:id="rId3"/>
    <sheet name="A-3" sheetId="30" r:id="rId4"/>
    <sheet name="A-4" sheetId="35" r:id="rId5"/>
    <sheet name="A-5" sheetId="16" r:id="rId6"/>
    <sheet name="A-6" sheetId="32" r:id="rId7"/>
    <sheet name="W-1" sheetId="20" r:id="rId8"/>
    <sheet name="W-2" sheetId="18" r:id="rId9"/>
    <sheet name="W-3" sheetId="19" r:id="rId10"/>
    <sheet name="W-4" sheetId="23" r:id="rId11"/>
    <sheet name="W-5" sheetId="22" r:id="rId12"/>
    <sheet name="W-6" sheetId="24" r:id="rId13"/>
    <sheet name="W-7" sheetId="33" r:id="rId14"/>
    <sheet name="W-8" sheetId="21" r:id="rId15"/>
    <sheet name="W-9" sheetId="31" r:id="rId16"/>
  </sheets>
  <externalReferences>
    <externalReference r:id="rId17"/>
    <externalReference r:id="rId18"/>
    <externalReference r:id="rId19"/>
    <externalReference r:id="rId20"/>
    <externalReference r:id="rId21"/>
    <externalReference r:id="rId22"/>
  </externalReferences>
  <definedNames>
    <definedName name="__NST01" localSheetId="5">[1]Census_Pop!$A$4:$L$62</definedName>
    <definedName name="__NST01" localSheetId="14">[1]Census_Pop!$A$4:$L$62</definedName>
    <definedName name="__NST01">[1]Census_Pop!$A$4:$L$62</definedName>
    <definedName name="_NST01" localSheetId="5">[1]Census_Pop!$A$4:$L$62</definedName>
    <definedName name="_NST01" localSheetId="14">[1]Census_Pop!$A$4:$L$62</definedName>
    <definedName name="_NST01">[1]Census_Pop!$A$4:$L$62</definedName>
    <definedName name="Boston_Agg">[2]Boston!$F$2:$F$102</definedName>
    <definedName name="Boston_Agg_1990">[2]Boston!$F$38:$F$102</definedName>
    <definedName name="Boston_Agg_5yr">[2]Boston!$G$2:$G$102</definedName>
    <definedName name="Chicago_Agg">[2]Chicago!$F$2:$F$102</definedName>
    <definedName name="Chicago_Agg_1990">[2]Chicago!$F$38:$F$102</definedName>
    <definedName name="Chicago_Agg_5yr">[2]Chicago!$G$2:$G$102</definedName>
    <definedName name="CPI_Ref_Year" localSheetId="5">[3]Incomes!$C$5</definedName>
    <definedName name="CPI_Ref_Year" localSheetId="14">[3]Incomes!$C$5</definedName>
    <definedName name="CPI_Ref_Year">[3]Incomes!$C$5</definedName>
    <definedName name="Current_NAR_Median_SFHome_Price" localSheetId="5">'[3]Home Prices'!$B$3</definedName>
    <definedName name="Current_NAR_Median_SFHome_Price" localSheetId="14">'[3]Home Prices'!$B$3</definedName>
    <definedName name="Current_NAR_Median_SFHome_Price">'[3]Home Prices'!$B$3</definedName>
    <definedName name="Current_Year_CMHPI" localSheetId="5">'[3]Home Prices'!$B$4</definedName>
    <definedName name="Current_Year_CMHPI" localSheetId="14">'[3]Home Prices'!$B$4</definedName>
    <definedName name="Current_Year_CMHPI">'[3]Home Prices'!$B$4</definedName>
    <definedName name="Denver_Agg">[2]Denver!$F$2:$F$102</definedName>
    <definedName name="Denver_Agg_1990">[2]Denver!$F$38:$F$102</definedName>
    <definedName name="Denver_Agg_5yr">[2]Denver!$G$2:$G$102</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39926.455</definedName>
    <definedName name="IQ_NTM" hidden="1">6000</definedName>
    <definedName name="IQ_TODAY" hidden="1">0</definedName>
    <definedName name="IQ_WEEK" hidden="1">50000</definedName>
    <definedName name="IQ_YTD" hidden="1">3000</definedName>
    <definedName name="LasVegas_Agg">'[2]Las Vegas'!$F$2:$F$102</definedName>
    <definedName name="LasVegas_Agg_1990">'[2]Las Vegas'!$F$38:$F$102</definedName>
    <definedName name="LasVegas_Agg_5yr">'[2]Las Vegas'!$G$2:$G$102</definedName>
    <definedName name="LosAngeles_Agg">'[2]Los Angeles'!$F$2:$F$102</definedName>
    <definedName name="LosAngeles_Agg_1990">'[2]Los Angeles'!$F$38:$F$102</definedName>
    <definedName name="LosAngeles_Agg_5yr">'[2]Los Angeles'!$G$2:$G$102</definedName>
    <definedName name="Miami_Agg">[2]Miami!$F$2:$F$102</definedName>
    <definedName name="Miami_Agg_1990">[2]Miami!$F$38:$F$102</definedName>
    <definedName name="Miami_Agg_5yr">[2]Miami!$G$2:$G$102</definedName>
    <definedName name="NewYork_Agg">'[2]New York'!$F$2:$F$102</definedName>
    <definedName name="NewYork_Agg_1990">'[2]New York'!$F$38:$F$102</definedName>
    <definedName name="NewYork_Agg_5yr">'[2]New York'!$G$2:$G$102</definedName>
    <definedName name="_xlnm.Print_Area" localSheetId="1">'A-1'!$A$1:$Q$50</definedName>
    <definedName name="_xlnm.Print_Area" localSheetId="2">'A-2'!$A$1:$S$31</definedName>
    <definedName name="_xlnm.Print_Area" localSheetId="3">'A-3'!$A$1:$M$32</definedName>
    <definedName name="_xlnm.Print_Area" localSheetId="4">'A-4'!$A$1:$G$46</definedName>
    <definedName name="_xlnm.Print_Area" localSheetId="5">'A-5'!$A$1:$K$33</definedName>
    <definedName name="_xlnm.Print_Area" localSheetId="6">'A-6'!$A$1:$I$28</definedName>
    <definedName name="_xlnm.Print_Area" localSheetId="0">'List of Appendix Tables'!$C$1:$C$20</definedName>
    <definedName name="_xlnm.Print_Area" localSheetId="7">'W-1'!$A$1:$P$110</definedName>
    <definedName name="_xlnm.Print_Area" localSheetId="10">'W-4'!$B$2:$M$62</definedName>
    <definedName name="_xlnm.Print_Area" localSheetId="11">'W-5'!$B$2:$M$56</definedName>
    <definedName name="_xlnm.Print_Titles" localSheetId="7">'W-1'!$2:$4</definedName>
    <definedName name="Ref_Year_CPI" localSheetId="5">[3]Incomes!$D$5</definedName>
    <definedName name="Ref_Year_CPI" localSheetId="14">[3]Incomes!$D$5</definedName>
    <definedName name="Ref_Year_CPI">[3]Incomes!$D$5</definedName>
    <definedName name="SanDiego_Agg">'[2]San Diego'!$F$2:$F$102</definedName>
    <definedName name="SanDiego_Agg_1990">'[2]San Diego'!$F$38:$F$102</definedName>
    <definedName name="SanDiego_Agg_5yr">'[2]San Diego'!$G$2:$G$102</definedName>
    <definedName name="SanFran_Agg">'[2]San francisco'!$F$2:$F$102</definedName>
    <definedName name="SanFran_Agg_1990">'[2]San francisco'!$F$38:$F$102</definedName>
    <definedName name="SanFran_Agg_5yr">'[2]San francisco'!$G$2:$G$102</definedName>
    <definedName name="US_Agg">'[2]US level indexes'!$H$2:$H$102</definedName>
    <definedName name="US_Agg_5yr">'[2]US level indexes'!$L$2:$L$102</definedName>
    <definedName name="WashDC_Agg">'[2]Washington DC'!$F$2:$F$102</definedName>
    <definedName name="WashDC_Agg_1990">'[2]Washington DC'!$F$38:$F$102</definedName>
    <definedName name="WashDC_Agg_5yr">'[2]Washington DC'!$G$2:$G$102</definedName>
  </definedNames>
  <calcPr calcId="125725"/>
</workbook>
</file>

<file path=xl/calcChain.xml><?xml version="1.0" encoding="utf-8"?>
<calcChain xmlns="http://schemas.openxmlformats.org/spreadsheetml/2006/main">
  <c r="J27" i="33"/>
  <c r="I27"/>
  <c r="H27"/>
  <c r="G27"/>
  <c r="F27"/>
  <c r="E27"/>
  <c r="D27"/>
  <c r="C27"/>
  <c r="B27"/>
  <c r="J26"/>
  <c r="I26"/>
  <c r="H26"/>
  <c r="G26"/>
  <c r="F26"/>
  <c r="E26"/>
  <c r="D26"/>
  <c r="C26"/>
  <c r="B26"/>
  <c r="J25"/>
  <c r="I25"/>
  <c r="H25"/>
  <c r="G25"/>
  <c r="F25"/>
  <c r="E25"/>
  <c r="D25"/>
  <c r="C25"/>
  <c r="B25"/>
  <c r="J24"/>
  <c r="I24"/>
  <c r="H24"/>
  <c r="G24"/>
  <c r="F24"/>
  <c r="E24"/>
  <c r="D24"/>
  <c r="C24"/>
  <c r="B24"/>
  <c r="J22"/>
  <c r="I22"/>
  <c r="H22"/>
  <c r="G22"/>
  <c r="F22"/>
  <c r="E22"/>
  <c r="D22"/>
  <c r="C22"/>
  <c r="B22"/>
  <c r="J21"/>
  <c r="I21"/>
  <c r="H21"/>
  <c r="G21"/>
  <c r="F21"/>
  <c r="E21"/>
  <c r="D21"/>
  <c r="C21"/>
  <c r="B21"/>
  <c r="J20"/>
  <c r="I20"/>
  <c r="H20"/>
  <c r="G20"/>
  <c r="F20"/>
  <c r="E20"/>
  <c r="D20"/>
  <c r="C20"/>
  <c r="B20"/>
  <c r="J19"/>
  <c r="I19"/>
  <c r="H19"/>
  <c r="G19"/>
  <c r="F19"/>
  <c r="E19"/>
  <c r="D19"/>
  <c r="C19"/>
  <c r="B19"/>
  <c r="J18"/>
  <c r="I18"/>
  <c r="H18"/>
  <c r="G18"/>
  <c r="F18"/>
  <c r="E18"/>
  <c r="D18"/>
  <c r="C18"/>
  <c r="B18"/>
  <c r="J17"/>
  <c r="I17"/>
  <c r="H17"/>
  <c r="G17"/>
  <c r="F17"/>
  <c r="E17"/>
  <c r="D17"/>
  <c r="C17"/>
  <c r="B17"/>
  <c r="J16"/>
  <c r="I16"/>
  <c r="H16"/>
  <c r="G16"/>
  <c r="F16"/>
  <c r="E16"/>
  <c r="D16"/>
  <c r="C16"/>
  <c r="B16"/>
  <c r="J15"/>
  <c r="I15"/>
  <c r="H15"/>
  <c r="G15"/>
  <c r="F15"/>
  <c r="E15"/>
  <c r="D15"/>
  <c r="C15"/>
  <c r="B15"/>
  <c r="J14"/>
  <c r="I14"/>
  <c r="H14"/>
  <c r="G14"/>
  <c r="F14"/>
  <c r="E14"/>
  <c r="D14"/>
  <c r="C14"/>
  <c r="B14"/>
  <c r="J13"/>
  <c r="I13"/>
  <c r="H13"/>
  <c r="G13"/>
  <c r="F13"/>
  <c r="E13"/>
  <c r="D13"/>
  <c r="C13"/>
  <c r="B13"/>
  <c r="J12"/>
  <c r="I12"/>
  <c r="H12"/>
  <c r="G12"/>
  <c r="F12"/>
  <c r="E12"/>
  <c r="D12"/>
  <c r="C12"/>
  <c r="B12"/>
  <c r="J11"/>
  <c r="I11"/>
  <c r="H11"/>
  <c r="G11"/>
  <c r="F11"/>
  <c r="E11"/>
  <c r="D11"/>
  <c r="C11"/>
  <c r="B11"/>
  <c r="J10"/>
  <c r="I10"/>
  <c r="H10"/>
  <c r="G10"/>
  <c r="F10"/>
  <c r="E10"/>
  <c r="D10"/>
  <c r="C10"/>
  <c r="B10"/>
  <c r="D9"/>
  <c r="C9"/>
  <c r="B9"/>
  <c r="J8"/>
  <c r="I8"/>
  <c r="H8"/>
  <c r="G8"/>
  <c r="F8"/>
  <c r="E8"/>
  <c r="D8"/>
  <c r="C8"/>
  <c r="B8"/>
  <c r="J7"/>
  <c r="I7"/>
  <c r="H7"/>
  <c r="G7"/>
  <c r="F7"/>
  <c r="E7"/>
  <c r="D7"/>
  <c r="C7"/>
  <c r="B7"/>
  <c r="J6"/>
  <c r="I6"/>
  <c r="H6"/>
  <c r="G6"/>
  <c r="F6"/>
  <c r="E6"/>
  <c r="D6"/>
  <c r="C6"/>
  <c r="B6"/>
  <c r="G26" i="32"/>
  <c r="G25"/>
  <c r="G24"/>
  <c r="G23"/>
  <c r="G22"/>
  <c r="G21"/>
  <c r="G20"/>
  <c r="G19"/>
  <c r="G18"/>
  <c r="G17"/>
  <c r="G16"/>
  <c r="G15"/>
  <c r="G14"/>
  <c r="G13"/>
  <c r="G12"/>
  <c r="G11"/>
  <c r="G10"/>
  <c r="G9"/>
  <c r="G8"/>
  <c r="G7"/>
  <c r="G6"/>
  <c r="G5"/>
  <c r="O39" i="28"/>
  <c r="N39"/>
  <c r="M39"/>
  <c r="J39"/>
  <c r="I39"/>
  <c r="O38"/>
  <c r="N38"/>
  <c r="M38"/>
  <c r="J38"/>
  <c r="I38"/>
  <c r="O37"/>
  <c r="N37"/>
  <c r="M37"/>
  <c r="J37"/>
  <c r="I37"/>
  <c r="O36"/>
  <c r="N36"/>
  <c r="M36"/>
  <c r="J36"/>
  <c r="I36"/>
  <c r="O35"/>
  <c r="N35"/>
  <c r="M35"/>
  <c r="J35"/>
  <c r="I35"/>
  <c r="O34"/>
  <c r="N34"/>
  <c r="M34"/>
  <c r="J34"/>
  <c r="I34"/>
  <c r="O33"/>
  <c r="N33"/>
  <c r="M33"/>
  <c r="J33"/>
  <c r="I33"/>
  <c r="O32"/>
  <c r="N32"/>
  <c r="M32"/>
  <c r="J32"/>
  <c r="I32"/>
  <c r="O31"/>
  <c r="N31"/>
  <c r="M31"/>
  <c r="J31"/>
  <c r="I31"/>
  <c r="O30"/>
  <c r="N30"/>
  <c r="M30"/>
  <c r="J30"/>
  <c r="I30"/>
  <c r="O29"/>
  <c r="N29"/>
  <c r="M29"/>
  <c r="J29"/>
  <c r="I29"/>
  <c r="O28"/>
  <c r="N28"/>
  <c r="M28"/>
  <c r="J28"/>
  <c r="I28"/>
  <c r="O27"/>
  <c r="N27"/>
  <c r="M27"/>
  <c r="J27"/>
  <c r="I27"/>
  <c r="O26"/>
  <c r="N26"/>
  <c r="M26"/>
  <c r="J26"/>
  <c r="I26"/>
  <c r="O25"/>
  <c r="N25"/>
  <c r="M25"/>
  <c r="J25"/>
  <c r="I25"/>
  <c r="O24"/>
  <c r="N24"/>
  <c r="M24"/>
  <c r="J24"/>
  <c r="I24"/>
  <c r="O23"/>
  <c r="N23"/>
  <c r="M23"/>
  <c r="J23"/>
  <c r="I23"/>
  <c r="O22"/>
  <c r="N22"/>
  <c r="M22"/>
  <c r="J22"/>
  <c r="I22"/>
  <c r="O21"/>
  <c r="N21"/>
  <c r="M21"/>
  <c r="J21"/>
  <c r="I21"/>
  <c r="N20"/>
  <c r="M20"/>
  <c r="J20"/>
  <c r="I20"/>
  <c r="N19"/>
  <c r="M19"/>
  <c r="J19"/>
  <c r="I19"/>
  <c r="N18"/>
  <c r="M18"/>
  <c r="J18"/>
  <c r="I18"/>
  <c r="N17"/>
  <c r="M17"/>
  <c r="J17"/>
  <c r="I17"/>
  <c r="N16"/>
  <c r="M16"/>
  <c r="J16"/>
  <c r="I16"/>
  <c r="N15"/>
  <c r="M15"/>
  <c r="J15"/>
  <c r="I15"/>
  <c r="N14"/>
  <c r="M14"/>
  <c r="J14"/>
  <c r="I14"/>
  <c r="N13"/>
  <c r="M13"/>
  <c r="J13"/>
  <c r="I13"/>
  <c r="N12"/>
  <c r="M12"/>
  <c r="J12"/>
  <c r="I12"/>
  <c r="N11"/>
  <c r="M11"/>
  <c r="J11"/>
  <c r="I11"/>
  <c r="N10"/>
  <c r="M10"/>
  <c r="J10"/>
  <c r="I10"/>
  <c r="N9"/>
  <c r="M9"/>
  <c r="J9"/>
  <c r="I9"/>
  <c r="N8"/>
  <c r="M8"/>
  <c r="J8"/>
  <c r="I8"/>
  <c r="J57" i="23"/>
  <c r="L57"/>
  <c r="I57"/>
  <c r="H57"/>
  <c r="G57"/>
  <c r="F57"/>
  <c r="E57"/>
  <c r="D57"/>
  <c r="J56"/>
  <c r="L56"/>
  <c r="I56"/>
  <c r="H56"/>
  <c r="G56"/>
  <c r="F56"/>
  <c r="E56"/>
  <c r="D56"/>
  <c r="J55"/>
  <c r="L55"/>
  <c r="I55"/>
  <c r="H55"/>
  <c r="G55"/>
  <c r="F55"/>
  <c r="E55"/>
  <c r="D55"/>
  <c r="L52"/>
  <c r="J52"/>
  <c r="I52"/>
  <c r="H52"/>
  <c r="G52"/>
  <c r="F52"/>
  <c r="E52"/>
  <c r="D52"/>
  <c r="M52"/>
  <c r="J51"/>
  <c r="L51"/>
  <c r="I51"/>
  <c r="H51"/>
  <c r="G51"/>
  <c r="F51"/>
  <c r="E51"/>
  <c r="D51"/>
  <c r="M51"/>
  <c r="J50"/>
  <c r="L50"/>
  <c r="I50"/>
  <c r="H50"/>
  <c r="G50"/>
  <c r="F50"/>
  <c r="E50"/>
  <c r="D50"/>
  <c r="J47"/>
  <c r="L47"/>
  <c r="I47"/>
  <c r="H47"/>
  <c r="G47"/>
  <c r="F47"/>
  <c r="E47"/>
  <c r="D47"/>
  <c r="L46"/>
  <c r="J46"/>
  <c r="I46"/>
  <c r="H46"/>
  <c r="G46"/>
  <c r="F46"/>
  <c r="E46"/>
  <c r="D46"/>
  <c r="M46"/>
  <c r="J45"/>
  <c r="L45"/>
  <c r="I45"/>
  <c r="H45"/>
  <c r="G45"/>
  <c r="F45"/>
  <c r="E45"/>
  <c r="D45"/>
  <c r="M45"/>
  <c r="J41"/>
  <c r="L41"/>
  <c r="I41"/>
  <c r="H41"/>
  <c r="G41"/>
  <c r="F41"/>
  <c r="E41"/>
  <c r="D41"/>
  <c r="J40"/>
  <c r="L40"/>
  <c r="I40"/>
  <c r="H40"/>
  <c r="G40"/>
  <c r="F40"/>
  <c r="E40"/>
  <c r="D40"/>
  <c r="L39"/>
  <c r="J39"/>
  <c r="I39"/>
  <c r="H39"/>
  <c r="G39"/>
  <c r="F39"/>
  <c r="E39"/>
  <c r="D39"/>
  <c r="M39"/>
  <c r="J36"/>
  <c r="L36"/>
  <c r="I36"/>
  <c r="H36"/>
  <c r="G36"/>
  <c r="F36"/>
  <c r="E36"/>
  <c r="D36"/>
  <c r="M36"/>
  <c r="J35"/>
  <c r="L35"/>
  <c r="I35"/>
  <c r="H35"/>
  <c r="G35"/>
  <c r="F35"/>
  <c r="E35"/>
  <c r="D35"/>
  <c r="J34"/>
  <c r="L34"/>
  <c r="I34"/>
  <c r="H34"/>
  <c r="G34"/>
  <c r="F34"/>
  <c r="E34"/>
  <c r="D34"/>
  <c r="L31"/>
  <c r="J31"/>
  <c r="I31"/>
  <c r="H31"/>
  <c r="G31"/>
  <c r="F31"/>
  <c r="E31"/>
  <c r="D31"/>
  <c r="M31"/>
  <c r="J30"/>
  <c r="L30"/>
  <c r="I30"/>
  <c r="H30"/>
  <c r="G30"/>
  <c r="F30"/>
  <c r="E30"/>
  <c r="D30"/>
  <c r="M30"/>
  <c r="J29"/>
  <c r="L29"/>
  <c r="I29"/>
  <c r="H29"/>
  <c r="G29"/>
  <c r="F29"/>
  <c r="E29"/>
  <c r="D29"/>
  <c r="J25"/>
  <c r="L25"/>
  <c r="I25"/>
  <c r="H25"/>
  <c r="G25"/>
  <c r="F25"/>
  <c r="E25"/>
  <c r="D25"/>
  <c r="L23"/>
  <c r="J23"/>
  <c r="I23"/>
  <c r="H23"/>
  <c r="G23"/>
  <c r="F23"/>
  <c r="E23"/>
  <c r="D23"/>
  <c r="M23"/>
  <c r="J22"/>
  <c r="L22"/>
  <c r="I22"/>
  <c r="H22"/>
  <c r="G22"/>
  <c r="F22"/>
  <c r="E22"/>
  <c r="D22"/>
  <c r="M22"/>
  <c r="J21"/>
  <c r="L21"/>
  <c r="I21"/>
  <c r="H21"/>
  <c r="G21"/>
  <c r="F21"/>
  <c r="E21"/>
  <c r="D21"/>
  <c r="J18"/>
  <c r="L18"/>
  <c r="I18"/>
  <c r="H18"/>
  <c r="G18"/>
  <c r="F18"/>
  <c r="E18"/>
  <c r="D18"/>
  <c r="L17"/>
  <c r="J17"/>
  <c r="I17"/>
  <c r="H17"/>
  <c r="G17"/>
  <c r="F17"/>
  <c r="E17"/>
  <c r="D17"/>
  <c r="M17"/>
  <c r="J16"/>
  <c r="L16"/>
  <c r="I16"/>
  <c r="H16"/>
  <c r="G16"/>
  <c r="F16"/>
  <c r="E16"/>
  <c r="D16"/>
  <c r="M16"/>
  <c r="J13"/>
  <c r="L13"/>
  <c r="I13"/>
  <c r="H13"/>
  <c r="G13"/>
  <c r="F13"/>
  <c r="E13"/>
  <c r="D13"/>
  <c r="J12"/>
  <c r="L12"/>
  <c r="I12"/>
  <c r="H12"/>
  <c r="G12"/>
  <c r="F12"/>
  <c r="E12"/>
  <c r="D12"/>
  <c r="L11"/>
  <c r="J11"/>
  <c r="I11"/>
  <c r="H11"/>
  <c r="G11"/>
  <c r="F11"/>
  <c r="E11"/>
  <c r="D11"/>
  <c r="M11"/>
  <c r="J8"/>
  <c r="L8"/>
  <c r="I8"/>
  <c r="H8"/>
  <c r="G8"/>
  <c r="F8"/>
  <c r="E8"/>
  <c r="D8"/>
  <c r="M8"/>
  <c r="J7"/>
  <c r="L7"/>
  <c r="I7"/>
  <c r="H7"/>
  <c r="G7"/>
  <c r="F7"/>
  <c r="E7"/>
  <c r="D7"/>
  <c r="J51" i="22"/>
  <c r="L51"/>
  <c r="I51"/>
  <c r="H51"/>
  <c r="G51"/>
  <c r="F51"/>
  <c r="E51"/>
  <c r="D51"/>
  <c r="M51"/>
  <c r="J50"/>
  <c r="L50"/>
  <c r="I50"/>
  <c r="H50"/>
  <c r="G50"/>
  <c r="F50"/>
  <c r="E50"/>
  <c r="D50"/>
  <c r="J49"/>
  <c r="L49"/>
  <c r="I49"/>
  <c r="H49"/>
  <c r="G49"/>
  <c r="F49"/>
  <c r="E49"/>
  <c r="D49"/>
  <c r="L48"/>
  <c r="J48"/>
  <c r="I48"/>
  <c r="H48"/>
  <c r="G48"/>
  <c r="F48"/>
  <c r="E48"/>
  <c r="D48"/>
  <c r="M48"/>
  <c r="J47"/>
  <c r="I47"/>
  <c r="L47"/>
  <c r="H47"/>
  <c r="G47"/>
  <c r="F47"/>
  <c r="E47"/>
  <c r="D47"/>
  <c r="M47"/>
  <c r="J44"/>
  <c r="L44"/>
  <c r="I44"/>
  <c r="H44"/>
  <c r="G44"/>
  <c r="F44"/>
  <c r="E44"/>
  <c r="D44"/>
  <c r="J43"/>
  <c r="L43"/>
  <c r="I43"/>
  <c r="H43"/>
  <c r="G43"/>
  <c r="F43"/>
  <c r="E43"/>
  <c r="D43"/>
  <c r="L42"/>
  <c r="J42"/>
  <c r="I42"/>
  <c r="H42"/>
  <c r="G42"/>
  <c r="F42"/>
  <c r="E42"/>
  <c r="D42"/>
  <c r="M42"/>
  <c r="J41"/>
  <c r="I41"/>
  <c r="L41"/>
  <c r="H41"/>
  <c r="G41"/>
  <c r="F41"/>
  <c r="E41"/>
  <c r="D41"/>
  <c r="M41"/>
  <c r="J37"/>
  <c r="L37"/>
  <c r="I37"/>
  <c r="H37"/>
  <c r="G37"/>
  <c r="F37"/>
  <c r="E37"/>
  <c r="D37"/>
  <c r="J36"/>
  <c r="L36"/>
  <c r="I36"/>
  <c r="H36"/>
  <c r="G36"/>
  <c r="F36"/>
  <c r="E36"/>
  <c r="D36"/>
  <c r="L35"/>
  <c r="J35"/>
  <c r="I35"/>
  <c r="H35"/>
  <c r="G35"/>
  <c r="F35"/>
  <c r="E35"/>
  <c r="D35"/>
  <c r="M35"/>
  <c r="J34"/>
  <c r="I34"/>
  <c r="L34"/>
  <c r="H34"/>
  <c r="G34"/>
  <c r="F34"/>
  <c r="E34"/>
  <c r="D34"/>
  <c r="M34"/>
  <c r="J33"/>
  <c r="L33"/>
  <c r="I33"/>
  <c r="H33"/>
  <c r="G33"/>
  <c r="F33"/>
  <c r="E33"/>
  <c r="D33"/>
  <c r="J30"/>
  <c r="L30"/>
  <c r="I30"/>
  <c r="H30"/>
  <c r="G30"/>
  <c r="F30"/>
  <c r="E30"/>
  <c r="D30"/>
  <c r="L29"/>
  <c r="J29"/>
  <c r="I29"/>
  <c r="H29"/>
  <c r="G29"/>
  <c r="F29"/>
  <c r="E29"/>
  <c r="D29"/>
  <c r="M29"/>
  <c r="J28"/>
  <c r="I28"/>
  <c r="L28"/>
  <c r="H28"/>
  <c r="G28"/>
  <c r="F28"/>
  <c r="E28"/>
  <c r="D28"/>
  <c r="M28"/>
  <c r="J27"/>
  <c r="L27"/>
  <c r="I27"/>
  <c r="H27"/>
  <c r="G27"/>
  <c r="F27"/>
  <c r="E27"/>
  <c r="D27"/>
  <c r="J23"/>
  <c r="L23"/>
  <c r="I23"/>
  <c r="H23"/>
  <c r="G23"/>
  <c r="F23"/>
  <c r="E23"/>
  <c r="D23"/>
  <c r="L21"/>
  <c r="J21"/>
  <c r="I21"/>
  <c r="H21"/>
  <c r="G21"/>
  <c r="F21"/>
  <c r="E21"/>
  <c r="D21"/>
  <c r="M21"/>
  <c r="J20"/>
  <c r="L20"/>
  <c r="I20"/>
  <c r="H20"/>
  <c r="G20"/>
  <c r="F20"/>
  <c r="E20"/>
  <c r="D20"/>
  <c r="M20"/>
  <c r="J19"/>
  <c r="L19"/>
  <c r="I19"/>
  <c r="H19"/>
  <c r="G19"/>
  <c r="F19"/>
  <c r="E19"/>
  <c r="D19"/>
  <c r="J18"/>
  <c r="L18"/>
  <c r="I18"/>
  <c r="H18"/>
  <c r="G18"/>
  <c r="F18"/>
  <c r="E18"/>
  <c r="D18"/>
  <c r="L17"/>
  <c r="J17"/>
  <c r="I17"/>
  <c r="H17"/>
  <c r="G17"/>
  <c r="F17"/>
  <c r="E17"/>
  <c r="D17"/>
  <c r="M17"/>
  <c r="J14"/>
  <c r="L14"/>
  <c r="I14"/>
  <c r="H14"/>
  <c r="G14"/>
  <c r="F14"/>
  <c r="E14"/>
  <c r="D14"/>
  <c r="M14"/>
  <c r="J13"/>
  <c r="L13"/>
  <c r="I13"/>
  <c r="H13"/>
  <c r="G13"/>
  <c r="F13"/>
  <c r="E13"/>
  <c r="D13"/>
  <c r="J12"/>
  <c r="L12"/>
  <c r="I12"/>
  <c r="H12"/>
  <c r="G12"/>
  <c r="F12"/>
  <c r="E12"/>
  <c r="D12"/>
  <c r="L11"/>
  <c r="J11"/>
  <c r="I11"/>
  <c r="H11"/>
  <c r="G11"/>
  <c r="F11"/>
  <c r="E11"/>
  <c r="D11"/>
  <c r="M11"/>
  <c r="J8"/>
  <c r="L8"/>
  <c r="I8"/>
  <c r="H8"/>
  <c r="G8"/>
  <c r="F8"/>
  <c r="E8"/>
  <c r="D8"/>
  <c r="M8"/>
  <c r="J7"/>
  <c r="L7"/>
  <c r="I7"/>
  <c r="H7"/>
  <c r="G7"/>
  <c r="F7"/>
  <c r="E7"/>
  <c r="D7"/>
  <c r="H105" i="20"/>
  <c r="G105"/>
  <c r="F105"/>
  <c r="D105"/>
  <c r="C105"/>
  <c r="B105"/>
  <c r="L104"/>
  <c r="K104"/>
  <c r="J104"/>
  <c r="I104"/>
  <c r="P104"/>
  <c r="E104"/>
  <c r="L103"/>
  <c r="K103"/>
  <c r="J103"/>
  <c r="I103"/>
  <c r="M103"/>
  <c r="E103"/>
  <c r="L102"/>
  <c r="K102"/>
  <c r="J102"/>
  <c r="I102"/>
  <c r="E102"/>
  <c r="L101"/>
  <c r="K101"/>
  <c r="J101"/>
  <c r="I101"/>
  <c r="E101"/>
  <c r="L100"/>
  <c r="K100"/>
  <c r="J100"/>
  <c r="I100"/>
  <c r="P100"/>
  <c r="E100"/>
  <c r="L99"/>
  <c r="K99"/>
  <c r="J99"/>
  <c r="I99"/>
  <c r="E99"/>
  <c r="L98"/>
  <c r="K98"/>
  <c r="J98"/>
  <c r="I98"/>
  <c r="E98"/>
  <c r="L97"/>
  <c r="K97"/>
  <c r="J97"/>
  <c r="I97"/>
  <c r="E97"/>
  <c r="P97"/>
  <c r="L96"/>
  <c r="K96"/>
  <c r="J96"/>
  <c r="I96"/>
  <c r="P96"/>
  <c r="E96"/>
  <c r="L95"/>
  <c r="K95"/>
  <c r="J95"/>
  <c r="I95"/>
  <c r="E95"/>
  <c r="L94"/>
  <c r="K94"/>
  <c r="J94"/>
  <c r="I94"/>
  <c r="N94"/>
  <c r="E94"/>
  <c r="L93"/>
  <c r="K93"/>
  <c r="J93"/>
  <c r="I93"/>
  <c r="E93"/>
  <c r="L92"/>
  <c r="K92"/>
  <c r="J92"/>
  <c r="I92"/>
  <c r="P92"/>
  <c r="E92"/>
  <c r="L91"/>
  <c r="K91"/>
  <c r="J91"/>
  <c r="I91"/>
  <c r="E91"/>
  <c r="L90"/>
  <c r="K90"/>
  <c r="J90"/>
  <c r="I90"/>
  <c r="N90"/>
  <c r="E90"/>
  <c r="L89"/>
  <c r="K89"/>
  <c r="J89"/>
  <c r="I89"/>
  <c r="E89"/>
  <c r="P89"/>
  <c r="L88"/>
  <c r="K88"/>
  <c r="J88"/>
  <c r="I88"/>
  <c r="P88"/>
  <c r="E88"/>
  <c r="L87"/>
  <c r="K87"/>
  <c r="J87"/>
  <c r="I87"/>
  <c r="E87"/>
  <c r="L86"/>
  <c r="K86"/>
  <c r="J86"/>
  <c r="I86"/>
  <c r="N86"/>
  <c r="E86"/>
  <c r="L85"/>
  <c r="K85"/>
  <c r="J85"/>
  <c r="I85"/>
  <c r="E85"/>
  <c r="L84"/>
  <c r="K84"/>
  <c r="J84"/>
  <c r="I84"/>
  <c r="P84"/>
  <c r="E84"/>
  <c r="L83"/>
  <c r="K83"/>
  <c r="J83"/>
  <c r="I83"/>
  <c r="E83"/>
  <c r="L82"/>
  <c r="K82"/>
  <c r="J82"/>
  <c r="I82"/>
  <c r="N82"/>
  <c r="E82"/>
  <c r="L81"/>
  <c r="K81"/>
  <c r="J81"/>
  <c r="I81"/>
  <c r="E81"/>
  <c r="P81"/>
  <c r="L80"/>
  <c r="K80"/>
  <c r="J80"/>
  <c r="I80"/>
  <c r="P80"/>
  <c r="E80"/>
  <c r="L79"/>
  <c r="K79"/>
  <c r="J79"/>
  <c r="I79"/>
  <c r="E79"/>
  <c r="L78"/>
  <c r="K78"/>
  <c r="J78"/>
  <c r="I78"/>
  <c r="N78"/>
  <c r="E78"/>
  <c r="L77"/>
  <c r="K77"/>
  <c r="J77"/>
  <c r="I77"/>
  <c r="E77"/>
  <c r="L76"/>
  <c r="K76"/>
  <c r="J76"/>
  <c r="I76"/>
  <c r="P76"/>
  <c r="E76"/>
  <c r="L75"/>
  <c r="K75"/>
  <c r="J75"/>
  <c r="I75"/>
  <c r="E75"/>
  <c r="L74"/>
  <c r="K74"/>
  <c r="J74"/>
  <c r="I74"/>
  <c r="N74"/>
  <c r="E74"/>
  <c r="L73"/>
  <c r="K73"/>
  <c r="J73"/>
  <c r="I73"/>
  <c r="E73"/>
  <c r="P73"/>
  <c r="L72"/>
  <c r="K72"/>
  <c r="J72"/>
  <c r="I72"/>
  <c r="P72"/>
  <c r="E72"/>
  <c r="L71"/>
  <c r="K71"/>
  <c r="J71"/>
  <c r="I71"/>
  <c r="E71"/>
  <c r="L70"/>
  <c r="K70"/>
  <c r="J70"/>
  <c r="I70"/>
  <c r="N70"/>
  <c r="E70"/>
  <c r="L69"/>
  <c r="K69"/>
  <c r="J69"/>
  <c r="I69"/>
  <c r="E69"/>
  <c r="L68"/>
  <c r="K68"/>
  <c r="J68"/>
  <c r="I68"/>
  <c r="P68"/>
  <c r="E68"/>
  <c r="L67"/>
  <c r="K67"/>
  <c r="J67"/>
  <c r="I67"/>
  <c r="E67"/>
  <c r="L66"/>
  <c r="K66"/>
  <c r="J66"/>
  <c r="I66"/>
  <c r="N66"/>
  <c r="E66"/>
  <c r="L65"/>
  <c r="K65"/>
  <c r="J65"/>
  <c r="I65"/>
  <c r="E65"/>
  <c r="P65"/>
  <c r="L64"/>
  <c r="K64"/>
  <c r="J64"/>
  <c r="I64"/>
  <c r="P64"/>
  <c r="E64"/>
  <c r="L63"/>
  <c r="K63"/>
  <c r="J63"/>
  <c r="I63"/>
  <c r="E63"/>
  <c r="L62"/>
  <c r="K62"/>
  <c r="J62"/>
  <c r="I62"/>
  <c r="N62"/>
  <c r="E62"/>
  <c r="L61"/>
  <c r="K61"/>
  <c r="J61"/>
  <c r="I61"/>
  <c r="E61"/>
  <c r="L60"/>
  <c r="K60"/>
  <c r="J60"/>
  <c r="I60"/>
  <c r="P60"/>
  <c r="E60"/>
  <c r="L59"/>
  <c r="K59"/>
  <c r="J59"/>
  <c r="I59"/>
  <c r="E59"/>
  <c r="L58"/>
  <c r="K58"/>
  <c r="J58"/>
  <c r="I58"/>
  <c r="N58"/>
  <c r="E58"/>
  <c r="L57"/>
  <c r="K57"/>
  <c r="J57"/>
  <c r="I57"/>
  <c r="E57"/>
  <c r="P57"/>
  <c r="L56"/>
  <c r="K56"/>
  <c r="J56"/>
  <c r="I56"/>
  <c r="P56"/>
  <c r="E56"/>
  <c r="L55"/>
  <c r="K55"/>
  <c r="J55"/>
  <c r="I55"/>
  <c r="E55"/>
  <c r="L54"/>
  <c r="K54"/>
  <c r="J54"/>
  <c r="I54"/>
  <c r="N54"/>
  <c r="E54"/>
  <c r="L53"/>
  <c r="K53"/>
  <c r="J53"/>
  <c r="I53"/>
  <c r="E53"/>
  <c r="L52"/>
  <c r="K52"/>
  <c r="J52"/>
  <c r="I52"/>
  <c r="P52"/>
  <c r="E52"/>
  <c r="L51"/>
  <c r="K51"/>
  <c r="J51"/>
  <c r="I51"/>
  <c r="E51"/>
  <c r="L50"/>
  <c r="K50"/>
  <c r="J50"/>
  <c r="I50"/>
  <c r="N50"/>
  <c r="E50"/>
  <c r="L49"/>
  <c r="K49"/>
  <c r="J49"/>
  <c r="I49"/>
  <c r="E49"/>
  <c r="P49"/>
  <c r="L48"/>
  <c r="K48"/>
  <c r="J48"/>
  <c r="I48"/>
  <c r="P48"/>
  <c r="E48"/>
  <c r="L47"/>
  <c r="K47"/>
  <c r="J47"/>
  <c r="I47"/>
  <c r="E47"/>
  <c r="L46"/>
  <c r="K46"/>
  <c r="J46"/>
  <c r="I46"/>
  <c r="N46"/>
  <c r="E46"/>
  <c r="L45"/>
  <c r="K45"/>
  <c r="J45"/>
  <c r="I45"/>
  <c r="E45"/>
  <c r="L44"/>
  <c r="K44"/>
  <c r="J44"/>
  <c r="I44"/>
  <c r="P44"/>
  <c r="E44"/>
  <c r="L43"/>
  <c r="K43"/>
  <c r="J43"/>
  <c r="I43"/>
  <c r="E43"/>
  <c r="L42"/>
  <c r="K42"/>
  <c r="J42"/>
  <c r="I42"/>
  <c r="N42"/>
  <c r="E42"/>
  <c r="L41"/>
  <c r="K41"/>
  <c r="J41"/>
  <c r="I41"/>
  <c r="E41"/>
  <c r="P41"/>
  <c r="L40"/>
  <c r="K40"/>
  <c r="J40"/>
  <c r="I40"/>
  <c r="P40"/>
  <c r="E40"/>
  <c r="L39"/>
  <c r="K39"/>
  <c r="J39"/>
  <c r="I39"/>
  <c r="E39"/>
  <c r="L38"/>
  <c r="K38"/>
  <c r="J38"/>
  <c r="I38"/>
  <c r="N38"/>
  <c r="E38"/>
  <c r="L37"/>
  <c r="K37"/>
  <c r="J37"/>
  <c r="I37"/>
  <c r="E37"/>
  <c r="L36"/>
  <c r="K36"/>
  <c r="J36"/>
  <c r="I36"/>
  <c r="P36"/>
  <c r="E36"/>
  <c r="L35"/>
  <c r="K35"/>
  <c r="J35"/>
  <c r="I35"/>
  <c r="E35"/>
  <c r="L34"/>
  <c r="K34"/>
  <c r="J34"/>
  <c r="I34"/>
  <c r="N34"/>
  <c r="E34"/>
  <c r="L33"/>
  <c r="K33"/>
  <c r="J33"/>
  <c r="I33"/>
  <c r="E33"/>
  <c r="P33"/>
  <c r="L32"/>
  <c r="K32"/>
  <c r="J32"/>
  <c r="I32"/>
  <c r="P32"/>
  <c r="E32"/>
  <c r="L31"/>
  <c r="K31"/>
  <c r="J31"/>
  <c r="I31"/>
  <c r="E31"/>
  <c r="L30"/>
  <c r="K30"/>
  <c r="J30"/>
  <c r="I30"/>
  <c r="N30"/>
  <c r="E30"/>
  <c r="L29"/>
  <c r="K29"/>
  <c r="J29"/>
  <c r="I29"/>
  <c r="E29"/>
  <c r="L28"/>
  <c r="K28"/>
  <c r="J28"/>
  <c r="I28"/>
  <c r="P28"/>
  <c r="E28"/>
  <c r="L27"/>
  <c r="K27"/>
  <c r="J27"/>
  <c r="I27"/>
  <c r="E27"/>
  <c r="L26"/>
  <c r="K26"/>
  <c r="J26"/>
  <c r="I26"/>
  <c r="N26"/>
  <c r="E26"/>
  <c r="L25"/>
  <c r="K25"/>
  <c r="J25"/>
  <c r="I25"/>
  <c r="E25"/>
  <c r="P25"/>
  <c r="L24"/>
  <c r="K24"/>
  <c r="J24"/>
  <c r="I24"/>
  <c r="P24"/>
  <c r="E24"/>
  <c r="L23"/>
  <c r="K23"/>
  <c r="J23"/>
  <c r="I23"/>
  <c r="E23"/>
  <c r="L22"/>
  <c r="K22"/>
  <c r="J22"/>
  <c r="I22"/>
  <c r="N22"/>
  <c r="E22"/>
  <c r="L21"/>
  <c r="K21"/>
  <c r="J21"/>
  <c r="I21"/>
  <c r="E21"/>
  <c r="L20"/>
  <c r="K20"/>
  <c r="J20"/>
  <c r="I20"/>
  <c r="P20"/>
  <c r="E20"/>
  <c r="L19"/>
  <c r="K19"/>
  <c r="J19"/>
  <c r="I19"/>
  <c r="E19"/>
  <c r="L18"/>
  <c r="K18"/>
  <c r="J18"/>
  <c r="I18"/>
  <c r="N18"/>
  <c r="E18"/>
  <c r="L17"/>
  <c r="K17"/>
  <c r="J17"/>
  <c r="I17"/>
  <c r="E17"/>
  <c r="P17"/>
  <c r="L16"/>
  <c r="K16"/>
  <c r="J16"/>
  <c r="I16"/>
  <c r="P16"/>
  <c r="E16"/>
  <c r="L15"/>
  <c r="K15"/>
  <c r="J15"/>
  <c r="I15"/>
  <c r="E15"/>
  <c r="L14"/>
  <c r="K14"/>
  <c r="J14"/>
  <c r="I14"/>
  <c r="N14"/>
  <c r="E14"/>
  <c r="L13"/>
  <c r="K13"/>
  <c r="J13"/>
  <c r="I13"/>
  <c r="E13"/>
  <c r="L12"/>
  <c r="K12"/>
  <c r="J12"/>
  <c r="I12"/>
  <c r="P12"/>
  <c r="E12"/>
  <c r="L11"/>
  <c r="K11"/>
  <c r="J11"/>
  <c r="I11"/>
  <c r="E11"/>
  <c r="L10"/>
  <c r="K10"/>
  <c r="J10"/>
  <c r="I10"/>
  <c r="N10"/>
  <c r="E10"/>
  <c r="L9"/>
  <c r="K9"/>
  <c r="J9"/>
  <c r="I9"/>
  <c r="E9"/>
  <c r="P9"/>
  <c r="L8"/>
  <c r="K8"/>
  <c r="J8"/>
  <c r="I8"/>
  <c r="P8"/>
  <c r="E8"/>
  <c r="L7"/>
  <c r="K7"/>
  <c r="J7"/>
  <c r="I7"/>
  <c r="E7"/>
  <c r="L6"/>
  <c r="K6"/>
  <c r="J6"/>
  <c r="I6"/>
  <c r="N6"/>
  <c r="E6"/>
  <c r="L5"/>
  <c r="K5"/>
  <c r="J5"/>
  <c r="I5"/>
  <c r="E5"/>
  <c r="M57" i="23"/>
  <c r="M7"/>
  <c r="M13"/>
  <c r="M21"/>
  <c r="M29"/>
  <c r="M35"/>
  <c r="M41"/>
  <c r="M50"/>
  <c r="M56"/>
  <c r="M12"/>
  <c r="M18"/>
  <c r="M25"/>
  <c r="M34"/>
  <c r="M40"/>
  <c r="M47"/>
  <c r="M55"/>
  <c r="M7" i="22"/>
  <c r="M13"/>
  <c r="M19"/>
  <c r="M27"/>
  <c r="M33"/>
  <c r="M37"/>
  <c r="M44"/>
  <c r="M50"/>
  <c r="M12"/>
  <c r="M18"/>
  <c r="M23"/>
  <c r="M30"/>
  <c r="M36"/>
  <c r="M43"/>
  <c r="M49"/>
  <c r="O13" i="20"/>
  <c r="O21"/>
  <c r="O29"/>
  <c r="O37"/>
  <c r="O45"/>
  <c r="O53"/>
  <c r="O61"/>
  <c r="O69"/>
  <c r="O77"/>
  <c r="O85"/>
  <c r="O93"/>
  <c r="O101"/>
  <c r="M7"/>
  <c r="M11"/>
  <c r="M15"/>
  <c r="M19"/>
  <c r="M23"/>
  <c r="M27"/>
  <c r="M31"/>
  <c r="M35"/>
  <c r="M39"/>
  <c r="M43"/>
  <c r="M47"/>
  <c r="M51"/>
  <c r="M55"/>
  <c r="M59"/>
  <c r="M63"/>
  <c r="M67"/>
  <c r="M71"/>
  <c r="M75"/>
  <c r="M79"/>
  <c r="M83"/>
  <c r="M87"/>
  <c r="M91"/>
  <c r="M95"/>
  <c r="M99"/>
  <c r="N98"/>
  <c r="N102"/>
  <c r="O6"/>
  <c r="N11"/>
  <c r="O14"/>
  <c r="N19"/>
  <c r="O22"/>
  <c r="N27"/>
  <c r="O30"/>
  <c r="N35"/>
  <c r="O38"/>
  <c r="N43"/>
  <c r="O46"/>
  <c r="N51"/>
  <c r="O54"/>
  <c r="N59"/>
  <c r="O62"/>
  <c r="N67"/>
  <c r="O70"/>
  <c r="N75"/>
  <c r="O78"/>
  <c r="N83"/>
  <c r="O86"/>
  <c r="N91"/>
  <c r="O94"/>
  <c r="N99"/>
  <c r="O102"/>
  <c r="I105"/>
  <c r="O11"/>
  <c r="O19"/>
  <c r="O27"/>
  <c r="O35"/>
  <c r="O43"/>
  <c r="O51"/>
  <c r="O59"/>
  <c r="O67"/>
  <c r="O75"/>
  <c r="O83"/>
  <c r="O91"/>
  <c r="O99"/>
  <c r="E105"/>
  <c r="N7"/>
  <c r="O10"/>
  <c r="P13"/>
  <c r="N15"/>
  <c r="O18"/>
  <c r="P21"/>
  <c r="N23"/>
  <c r="O26"/>
  <c r="P29"/>
  <c r="N31"/>
  <c r="O34"/>
  <c r="P37"/>
  <c r="N39"/>
  <c r="O42"/>
  <c r="P45"/>
  <c r="N47"/>
  <c r="O50"/>
  <c r="P53"/>
  <c r="N55"/>
  <c r="O58"/>
  <c r="P61"/>
  <c r="N63"/>
  <c r="O66"/>
  <c r="P69"/>
  <c r="N71"/>
  <c r="O74"/>
  <c r="P77"/>
  <c r="N79"/>
  <c r="O82"/>
  <c r="P85"/>
  <c r="N87"/>
  <c r="O90"/>
  <c r="P93"/>
  <c r="N95"/>
  <c r="O98"/>
  <c r="P101"/>
  <c r="N103"/>
  <c r="O7"/>
  <c r="O9"/>
  <c r="O15"/>
  <c r="O17"/>
  <c r="O23"/>
  <c r="O25"/>
  <c r="O31"/>
  <c r="O33"/>
  <c r="O39"/>
  <c r="O41"/>
  <c r="O47"/>
  <c r="O49"/>
  <c r="O55"/>
  <c r="O57"/>
  <c r="O63"/>
  <c r="O65"/>
  <c r="O71"/>
  <c r="O73"/>
  <c r="O79"/>
  <c r="O81"/>
  <c r="O87"/>
  <c r="O89"/>
  <c r="O95"/>
  <c r="O97"/>
  <c r="O103"/>
  <c r="P105"/>
  <c r="O105"/>
  <c r="M105"/>
  <c r="N105"/>
  <c r="N5"/>
  <c r="M6"/>
  <c r="P7"/>
  <c r="O8"/>
  <c r="N9"/>
  <c r="M10"/>
  <c r="P11"/>
  <c r="O12"/>
  <c r="N13"/>
  <c r="M14"/>
  <c r="P15"/>
  <c r="O16"/>
  <c r="N17"/>
  <c r="M18"/>
  <c r="P19"/>
  <c r="O20"/>
  <c r="N21"/>
  <c r="M22"/>
  <c r="P23"/>
  <c r="O24"/>
  <c r="N25"/>
  <c r="M26"/>
  <c r="P27"/>
  <c r="O28"/>
  <c r="N29"/>
  <c r="M30"/>
  <c r="P31"/>
  <c r="O32"/>
  <c r="N33"/>
  <c r="M34"/>
  <c r="P35"/>
  <c r="O36"/>
  <c r="N37"/>
  <c r="M38"/>
  <c r="P39"/>
  <c r="O40"/>
  <c r="N41"/>
  <c r="M42"/>
  <c r="P43"/>
  <c r="O44"/>
  <c r="N45"/>
  <c r="M46"/>
  <c r="P47"/>
  <c r="O48"/>
  <c r="N49"/>
  <c r="M50"/>
  <c r="P51"/>
  <c r="O52"/>
  <c r="N53"/>
  <c r="M54"/>
  <c r="P55"/>
  <c r="O56"/>
  <c r="N57"/>
  <c r="M58"/>
  <c r="P59"/>
  <c r="O60"/>
  <c r="N61"/>
  <c r="M62"/>
  <c r="P63"/>
  <c r="O64"/>
  <c r="N65"/>
  <c r="M66"/>
  <c r="P67"/>
  <c r="O68"/>
  <c r="N69"/>
  <c r="M70"/>
  <c r="P71"/>
  <c r="O72"/>
  <c r="N73"/>
  <c r="M74"/>
  <c r="P75"/>
  <c r="O76"/>
  <c r="N77"/>
  <c r="M78"/>
  <c r="P79"/>
  <c r="O80"/>
  <c r="N81"/>
  <c r="M82"/>
  <c r="P83"/>
  <c r="O84"/>
  <c r="N85"/>
  <c r="M86"/>
  <c r="P87"/>
  <c r="O88"/>
  <c r="N89"/>
  <c r="M90"/>
  <c r="P91"/>
  <c r="O92"/>
  <c r="N93"/>
  <c r="M94"/>
  <c r="P95"/>
  <c r="O96"/>
  <c r="N97"/>
  <c r="M98"/>
  <c r="P99"/>
  <c r="O100"/>
  <c r="N101"/>
  <c r="M102"/>
  <c r="P103"/>
  <c r="O104"/>
  <c r="L105"/>
  <c r="M5"/>
  <c r="P6"/>
  <c r="N8"/>
  <c r="M9"/>
  <c r="P10"/>
  <c r="N12"/>
  <c r="M13"/>
  <c r="P14"/>
  <c r="N16"/>
  <c r="M17"/>
  <c r="P18"/>
  <c r="N20"/>
  <c r="M21"/>
  <c r="P22"/>
  <c r="N24"/>
  <c r="M25"/>
  <c r="P26"/>
  <c r="N28"/>
  <c r="M29"/>
  <c r="P30"/>
  <c r="N32"/>
  <c r="M33"/>
  <c r="P34"/>
  <c r="N36"/>
  <c r="M37"/>
  <c r="P38"/>
  <c r="N40"/>
  <c r="M41"/>
  <c r="P42"/>
  <c r="N44"/>
  <c r="M45"/>
  <c r="P46"/>
  <c r="N48"/>
  <c r="M49"/>
  <c r="P50"/>
  <c r="N52"/>
  <c r="M53"/>
  <c r="P54"/>
  <c r="N56"/>
  <c r="M57"/>
  <c r="P58"/>
  <c r="N60"/>
  <c r="M61"/>
  <c r="P62"/>
  <c r="N64"/>
  <c r="M65"/>
  <c r="P66"/>
  <c r="N68"/>
  <c r="M69"/>
  <c r="P70"/>
  <c r="N72"/>
  <c r="M73"/>
  <c r="P74"/>
  <c r="N76"/>
  <c r="M77"/>
  <c r="P78"/>
  <c r="N80"/>
  <c r="M81"/>
  <c r="P82"/>
  <c r="N84"/>
  <c r="M85"/>
  <c r="P86"/>
  <c r="N88"/>
  <c r="M89"/>
  <c r="P90"/>
  <c r="N92"/>
  <c r="M93"/>
  <c r="P94"/>
  <c r="N96"/>
  <c r="M97"/>
  <c r="P98"/>
  <c r="N100"/>
  <c r="M101"/>
  <c r="P102"/>
  <c r="N104"/>
  <c r="K105"/>
  <c r="P5"/>
  <c r="M16"/>
  <c r="M24"/>
  <c r="M28"/>
  <c r="M32"/>
  <c r="M36"/>
  <c r="M40"/>
  <c r="M44"/>
  <c r="M48"/>
  <c r="M52"/>
  <c r="M56"/>
  <c r="M60"/>
  <c r="M64"/>
  <c r="M68"/>
  <c r="M72"/>
  <c r="M76"/>
  <c r="M80"/>
  <c r="M84"/>
  <c r="M88"/>
  <c r="M92"/>
  <c r="M96"/>
  <c r="M100"/>
  <c r="M104"/>
  <c r="J105"/>
  <c r="M8"/>
  <c r="M12"/>
  <c r="M20"/>
  <c r="O5"/>
  <c r="W92" i="19"/>
  <c r="V92"/>
  <c r="U92"/>
  <c r="T92"/>
  <c r="S92"/>
  <c r="R92"/>
  <c r="Q92"/>
  <c r="P92"/>
  <c r="O92"/>
  <c r="N92"/>
  <c r="M92"/>
  <c r="L92"/>
  <c r="K92"/>
  <c r="J92"/>
  <c r="I92"/>
  <c r="H92"/>
  <c r="G92"/>
  <c r="F92"/>
  <c r="E92"/>
  <c r="D92"/>
  <c r="C92"/>
  <c r="B92"/>
  <c r="W91"/>
  <c r="V91"/>
  <c r="U91"/>
  <c r="T91"/>
  <c r="S91"/>
  <c r="R91"/>
  <c r="Q91"/>
  <c r="P91"/>
  <c r="O91"/>
  <c r="N91"/>
  <c r="M91"/>
  <c r="L91"/>
  <c r="J91"/>
  <c r="I91"/>
  <c r="H91"/>
  <c r="G91"/>
  <c r="F91"/>
  <c r="E91"/>
  <c r="D91"/>
  <c r="C91"/>
  <c r="B91"/>
  <c r="W90"/>
  <c r="V90"/>
  <c r="U90"/>
  <c r="T90"/>
  <c r="S90"/>
  <c r="R90"/>
  <c r="Q90"/>
  <c r="P90"/>
  <c r="O90"/>
  <c r="N90"/>
  <c r="M90"/>
  <c r="L90"/>
  <c r="K90"/>
  <c r="J90"/>
  <c r="I90"/>
  <c r="H90"/>
  <c r="G90"/>
  <c r="F90"/>
  <c r="E90"/>
  <c r="D90"/>
  <c r="C90"/>
  <c r="B90"/>
  <c r="W89"/>
  <c r="V89"/>
  <c r="U89"/>
  <c r="T89"/>
  <c r="S89"/>
  <c r="R89"/>
  <c r="Q89"/>
  <c r="P89"/>
  <c r="O89"/>
  <c r="N89"/>
  <c r="M89"/>
  <c r="L89"/>
  <c r="K89"/>
  <c r="J89"/>
  <c r="I89"/>
  <c r="H89"/>
  <c r="G89"/>
  <c r="F89"/>
  <c r="E89"/>
  <c r="D89"/>
  <c r="C89"/>
  <c r="B89"/>
  <c r="W88"/>
  <c r="V88"/>
  <c r="U88"/>
  <c r="T88"/>
  <c r="S88"/>
  <c r="R88"/>
  <c r="Q88"/>
  <c r="P88"/>
  <c r="O88"/>
  <c r="M88"/>
  <c r="L88"/>
  <c r="K88"/>
  <c r="J88"/>
  <c r="I88"/>
  <c r="H88"/>
  <c r="G88"/>
  <c r="F88"/>
  <c r="E88"/>
  <c r="D88"/>
  <c r="C88"/>
  <c r="W87"/>
  <c r="V87"/>
  <c r="U87"/>
  <c r="T87"/>
  <c r="S87"/>
  <c r="R87"/>
  <c r="Q87"/>
  <c r="P87"/>
  <c r="O87"/>
  <c r="N87"/>
  <c r="M87"/>
  <c r="L87"/>
  <c r="K87"/>
  <c r="J87"/>
  <c r="I87"/>
  <c r="H87"/>
  <c r="G87"/>
  <c r="F87"/>
  <c r="E87"/>
  <c r="D87"/>
  <c r="C87"/>
  <c r="B87"/>
  <c r="W86"/>
  <c r="V86"/>
  <c r="U86"/>
  <c r="T86"/>
  <c r="S86"/>
  <c r="R86"/>
  <c r="Q86"/>
  <c r="P86"/>
  <c r="O86"/>
  <c r="N86"/>
  <c r="M86"/>
  <c r="L86"/>
  <c r="K86"/>
  <c r="J86"/>
  <c r="I86"/>
  <c r="H86"/>
  <c r="G86"/>
  <c r="F86"/>
  <c r="E86"/>
  <c r="D86"/>
  <c r="C86"/>
  <c r="B86"/>
  <c r="W85"/>
  <c r="V85"/>
  <c r="U85"/>
  <c r="T85"/>
  <c r="S85"/>
  <c r="R85"/>
  <c r="Q85"/>
  <c r="P85"/>
  <c r="O85"/>
  <c r="N85"/>
  <c r="M85"/>
  <c r="L85"/>
  <c r="K85"/>
  <c r="J85"/>
  <c r="I85"/>
  <c r="H85"/>
  <c r="G85"/>
  <c r="F85"/>
  <c r="E85"/>
  <c r="D85"/>
  <c r="W84"/>
  <c r="V84"/>
  <c r="U84"/>
  <c r="T84"/>
  <c r="S84"/>
  <c r="R84"/>
  <c r="Q84"/>
  <c r="P84"/>
  <c r="O84"/>
  <c r="N84"/>
  <c r="M84"/>
  <c r="L84"/>
  <c r="K84"/>
  <c r="J84"/>
  <c r="I84"/>
  <c r="H84"/>
  <c r="G84"/>
  <c r="F84"/>
  <c r="E84"/>
  <c r="D84"/>
  <c r="C84"/>
  <c r="B84"/>
  <c r="W83"/>
  <c r="V83"/>
  <c r="U83"/>
  <c r="T83"/>
  <c r="S83"/>
  <c r="R83"/>
  <c r="Q83"/>
  <c r="P83"/>
  <c r="O83"/>
  <c r="N83"/>
  <c r="M83"/>
  <c r="L83"/>
  <c r="K83"/>
  <c r="J83"/>
  <c r="I83"/>
  <c r="H83"/>
  <c r="G83"/>
  <c r="F83"/>
  <c r="E83"/>
  <c r="D83"/>
  <c r="C83"/>
  <c r="B83"/>
  <c r="W82"/>
  <c r="V82"/>
  <c r="U82"/>
  <c r="T82"/>
  <c r="S82"/>
  <c r="R82"/>
  <c r="Q82"/>
  <c r="P82"/>
  <c r="O82"/>
  <c r="N82"/>
  <c r="M82"/>
  <c r="L82"/>
  <c r="K82"/>
  <c r="J82"/>
  <c r="I82"/>
  <c r="H82"/>
  <c r="G82"/>
  <c r="F82"/>
  <c r="E82"/>
  <c r="D82"/>
  <c r="C82"/>
  <c r="B82"/>
  <c r="W81"/>
  <c r="V81"/>
  <c r="U81"/>
  <c r="T81"/>
  <c r="S81"/>
  <c r="R81"/>
  <c r="Q81"/>
  <c r="P81"/>
  <c r="O81"/>
  <c r="N81"/>
  <c r="M81"/>
  <c r="L81"/>
  <c r="K81"/>
  <c r="J81"/>
  <c r="I81"/>
  <c r="H81"/>
  <c r="G81"/>
  <c r="F81"/>
  <c r="E81"/>
  <c r="D81"/>
  <c r="C81"/>
  <c r="B81"/>
  <c r="W80"/>
  <c r="V80"/>
  <c r="U80"/>
  <c r="T80"/>
  <c r="S80"/>
  <c r="R80"/>
  <c r="Q80"/>
  <c r="P80"/>
  <c r="O80"/>
  <c r="N80"/>
  <c r="M80"/>
  <c r="L80"/>
  <c r="K80"/>
  <c r="J80"/>
  <c r="I80"/>
  <c r="H80"/>
  <c r="G80"/>
  <c r="F80"/>
  <c r="E80"/>
  <c r="D80"/>
  <c r="C80"/>
  <c r="B80"/>
  <c r="W79"/>
  <c r="V79"/>
  <c r="U79"/>
  <c r="T79"/>
  <c r="S79"/>
  <c r="R79"/>
  <c r="Q79"/>
  <c r="P79"/>
  <c r="O79"/>
  <c r="N79"/>
  <c r="M79"/>
  <c r="L79"/>
  <c r="K79"/>
  <c r="J79"/>
  <c r="I79"/>
  <c r="H79"/>
  <c r="G79"/>
  <c r="F79"/>
  <c r="E79"/>
  <c r="D79"/>
  <c r="C79"/>
  <c r="B79"/>
  <c r="W78"/>
  <c r="V78"/>
  <c r="U78"/>
  <c r="T78"/>
  <c r="S78"/>
  <c r="R78"/>
  <c r="Q78"/>
  <c r="W77"/>
  <c r="V77"/>
  <c r="U77"/>
  <c r="T77"/>
  <c r="S77"/>
  <c r="R77"/>
  <c r="Q77"/>
  <c r="P77"/>
  <c r="O77"/>
  <c r="N77"/>
  <c r="M77"/>
  <c r="L77"/>
  <c r="K77"/>
  <c r="J77"/>
  <c r="I77"/>
  <c r="H77"/>
  <c r="G77"/>
  <c r="F77"/>
  <c r="E77"/>
  <c r="D77"/>
  <c r="C77"/>
  <c r="B77"/>
  <c r="W76"/>
  <c r="V76"/>
  <c r="U76"/>
  <c r="T76"/>
  <c r="S76"/>
  <c r="R76"/>
  <c r="Q76"/>
  <c r="P76"/>
  <c r="O76"/>
  <c r="N76"/>
  <c r="M76"/>
  <c r="L76"/>
  <c r="K76"/>
  <c r="J76"/>
  <c r="I76"/>
  <c r="H76"/>
  <c r="G76"/>
  <c r="F76"/>
  <c r="E76"/>
  <c r="D76"/>
  <c r="C76"/>
  <c r="B76"/>
  <c r="W75"/>
  <c r="V75"/>
  <c r="U75"/>
  <c r="T75"/>
  <c r="S75"/>
  <c r="R75"/>
  <c r="Q75"/>
  <c r="P75"/>
  <c r="O75"/>
  <c r="N75"/>
  <c r="M75"/>
  <c r="L75"/>
  <c r="K75"/>
  <c r="J75"/>
  <c r="I75"/>
  <c r="H75"/>
  <c r="G75"/>
  <c r="F75"/>
  <c r="E75"/>
  <c r="D75"/>
  <c r="C75"/>
  <c r="B75"/>
  <c r="W74"/>
  <c r="V74"/>
  <c r="U74"/>
  <c r="T74"/>
  <c r="S74"/>
  <c r="R74"/>
  <c r="Q74"/>
  <c r="P74"/>
  <c r="O74"/>
  <c r="N74"/>
  <c r="M74"/>
  <c r="L74"/>
  <c r="K74"/>
  <c r="J74"/>
  <c r="I74"/>
  <c r="H74"/>
  <c r="G74"/>
  <c r="F74"/>
  <c r="E74"/>
  <c r="D74"/>
  <c r="C74"/>
  <c r="B74"/>
  <c r="W73"/>
  <c r="V73"/>
  <c r="U73"/>
  <c r="T73"/>
  <c r="S73"/>
  <c r="R73"/>
  <c r="Q73"/>
  <c r="P73"/>
  <c r="O73"/>
  <c r="N73"/>
  <c r="M73"/>
  <c r="L73"/>
  <c r="K73"/>
  <c r="J73"/>
  <c r="I73"/>
  <c r="H73"/>
  <c r="G73"/>
  <c r="F73"/>
  <c r="E73"/>
  <c r="D73"/>
  <c r="C73"/>
  <c r="B73"/>
  <c r="W72"/>
  <c r="V72"/>
  <c r="U72"/>
  <c r="T72"/>
  <c r="S72"/>
  <c r="R72"/>
  <c r="Q72"/>
  <c r="P72"/>
  <c r="O72"/>
  <c r="N72"/>
  <c r="M72"/>
  <c r="L72"/>
  <c r="K72"/>
  <c r="J72"/>
  <c r="I72"/>
  <c r="H72"/>
  <c r="G72"/>
  <c r="F72"/>
  <c r="E72"/>
  <c r="D72"/>
  <c r="C72"/>
  <c r="B72"/>
  <c r="W71"/>
  <c r="V71"/>
  <c r="U71"/>
  <c r="T71"/>
  <c r="S71"/>
  <c r="R71"/>
  <c r="Q71"/>
  <c r="P71"/>
  <c r="O71"/>
  <c r="N71"/>
  <c r="M71"/>
  <c r="L71"/>
  <c r="K71"/>
  <c r="J71"/>
  <c r="I71"/>
  <c r="H71"/>
  <c r="G71"/>
  <c r="F71"/>
  <c r="E71"/>
  <c r="D71"/>
  <c r="C71"/>
  <c r="B71"/>
  <c r="V70"/>
  <c r="U70"/>
  <c r="T70"/>
  <c r="S70"/>
  <c r="R70"/>
  <c r="Q70"/>
  <c r="P70"/>
  <c r="O70"/>
  <c r="N70"/>
  <c r="M70"/>
  <c r="L70"/>
  <c r="K70"/>
  <c r="J70"/>
  <c r="I70"/>
  <c r="H70"/>
  <c r="G70"/>
  <c r="F70"/>
  <c r="E70"/>
  <c r="D70"/>
  <c r="C70"/>
  <c r="B70"/>
  <c r="W69"/>
  <c r="V69"/>
  <c r="U69"/>
  <c r="T69"/>
  <c r="S69"/>
  <c r="R69"/>
  <c r="Q69"/>
  <c r="P69"/>
  <c r="O69"/>
  <c r="N69"/>
  <c r="M69"/>
  <c r="L69"/>
  <c r="K69"/>
  <c r="J69"/>
  <c r="I69"/>
  <c r="H69"/>
  <c r="G69"/>
  <c r="F69"/>
  <c r="E69"/>
  <c r="D69"/>
  <c r="C69"/>
  <c r="B69"/>
  <c r="W68"/>
  <c r="V68"/>
  <c r="U68"/>
  <c r="T68"/>
  <c r="S68"/>
  <c r="R68"/>
  <c r="Q68"/>
  <c r="P68"/>
  <c r="O68"/>
  <c r="N68"/>
  <c r="M68"/>
  <c r="L68"/>
  <c r="K68"/>
  <c r="J68"/>
  <c r="I68"/>
  <c r="H68"/>
  <c r="G68"/>
  <c r="F68"/>
  <c r="E68"/>
  <c r="D68"/>
  <c r="C68"/>
  <c r="B68"/>
  <c r="W67"/>
  <c r="V67"/>
  <c r="U67"/>
  <c r="T67"/>
  <c r="S67"/>
  <c r="R67"/>
  <c r="Q67"/>
  <c r="P67"/>
  <c r="O67"/>
  <c r="N67"/>
  <c r="M67"/>
  <c r="L67"/>
  <c r="K67"/>
  <c r="J67"/>
  <c r="I67"/>
  <c r="H67"/>
  <c r="G67"/>
  <c r="F67"/>
  <c r="E67"/>
  <c r="D67"/>
  <c r="C67"/>
  <c r="B67"/>
  <c r="V66"/>
  <c r="U66"/>
  <c r="T66"/>
  <c r="S66"/>
  <c r="R66"/>
  <c r="Q66"/>
  <c r="P66"/>
  <c r="O66"/>
  <c r="N66"/>
  <c r="M66"/>
  <c r="L66"/>
  <c r="K66"/>
  <c r="J66"/>
  <c r="I66"/>
  <c r="H66"/>
  <c r="G66"/>
  <c r="F66"/>
  <c r="E66"/>
  <c r="D66"/>
  <c r="C66"/>
  <c r="B66"/>
  <c r="W65"/>
  <c r="V65"/>
  <c r="U65"/>
  <c r="T65"/>
  <c r="S65"/>
  <c r="R65"/>
  <c r="Q65"/>
  <c r="P65"/>
  <c r="O65"/>
  <c r="N65"/>
  <c r="M65"/>
  <c r="L65"/>
  <c r="K65"/>
  <c r="J65"/>
  <c r="I65"/>
  <c r="H65"/>
  <c r="G65"/>
  <c r="F65"/>
  <c r="E65"/>
  <c r="D65"/>
  <c r="C65"/>
  <c r="B65"/>
  <c r="W64"/>
  <c r="V64"/>
  <c r="U64"/>
  <c r="T64"/>
  <c r="S64"/>
  <c r="R64"/>
  <c r="Q64"/>
  <c r="P64"/>
  <c r="O64"/>
  <c r="N64"/>
  <c r="M64"/>
  <c r="L64"/>
  <c r="K64"/>
  <c r="J64"/>
  <c r="G64"/>
  <c r="F64"/>
  <c r="E64"/>
  <c r="D64"/>
  <c r="C64"/>
  <c r="B64"/>
  <c r="W63"/>
  <c r="V63"/>
  <c r="U63"/>
  <c r="T63"/>
  <c r="S63"/>
  <c r="R63"/>
  <c r="Q63"/>
  <c r="P63"/>
  <c r="O63"/>
  <c r="N63"/>
  <c r="M63"/>
  <c r="L63"/>
  <c r="K63"/>
  <c r="J63"/>
  <c r="I63"/>
  <c r="H63"/>
  <c r="G63"/>
  <c r="F63"/>
  <c r="E63"/>
  <c r="D63"/>
  <c r="C63"/>
  <c r="B63"/>
  <c r="W62"/>
  <c r="V62"/>
  <c r="U62"/>
  <c r="T62"/>
  <c r="S62"/>
  <c r="R62"/>
  <c r="Q62"/>
  <c r="P62"/>
  <c r="O62"/>
  <c r="N62"/>
  <c r="M62"/>
  <c r="L62"/>
  <c r="K62"/>
  <c r="J62"/>
  <c r="I62"/>
  <c r="H62"/>
  <c r="G62"/>
  <c r="F62"/>
  <c r="E62"/>
  <c r="D62"/>
  <c r="C62"/>
  <c r="B62"/>
  <c r="W61"/>
  <c r="V61"/>
  <c r="U61"/>
  <c r="T61"/>
  <c r="S61"/>
  <c r="R61"/>
  <c r="Q61"/>
  <c r="P61"/>
  <c r="O61"/>
  <c r="N61"/>
  <c r="M61"/>
  <c r="L61"/>
  <c r="K61"/>
  <c r="J61"/>
  <c r="I61"/>
  <c r="H61"/>
  <c r="G61"/>
  <c r="F61"/>
  <c r="E61"/>
  <c r="D61"/>
  <c r="C61"/>
  <c r="B61"/>
  <c r="W60"/>
  <c r="V60"/>
  <c r="U60"/>
  <c r="T60"/>
  <c r="S60"/>
  <c r="R60"/>
  <c r="Q60"/>
  <c r="P60"/>
  <c r="O60"/>
  <c r="N60"/>
  <c r="M60"/>
  <c r="L60"/>
  <c r="K60"/>
  <c r="J60"/>
  <c r="I60"/>
  <c r="H60"/>
  <c r="G60"/>
  <c r="F60"/>
  <c r="E60"/>
  <c r="D60"/>
  <c r="C60"/>
  <c r="B60"/>
  <c r="W59"/>
  <c r="V59"/>
  <c r="U59"/>
  <c r="T59"/>
  <c r="S59"/>
  <c r="R59"/>
  <c r="Q59"/>
  <c r="P59"/>
  <c r="O59"/>
  <c r="N59"/>
  <c r="M59"/>
  <c r="L59"/>
  <c r="K59"/>
  <c r="J59"/>
  <c r="I59"/>
  <c r="H59"/>
  <c r="G59"/>
  <c r="F59"/>
  <c r="E59"/>
  <c r="D59"/>
  <c r="C59"/>
  <c r="B59"/>
  <c r="W58"/>
  <c r="V58"/>
  <c r="U58"/>
  <c r="T58"/>
  <c r="S58"/>
  <c r="R58"/>
  <c r="Q58"/>
  <c r="P58"/>
  <c r="O58"/>
  <c r="N58"/>
  <c r="M58"/>
  <c r="L58"/>
  <c r="K58"/>
  <c r="J58"/>
  <c r="I58"/>
  <c r="H58"/>
  <c r="G58"/>
  <c r="F58"/>
  <c r="E58"/>
  <c r="D58"/>
  <c r="C58"/>
  <c r="B58"/>
  <c r="W57"/>
  <c r="V57"/>
  <c r="U57"/>
  <c r="T57"/>
  <c r="S57"/>
  <c r="R57"/>
  <c r="Q57"/>
  <c r="P57"/>
  <c r="O57"/>
  <c r="N57"/>
  <c r="M57"/>
  <c r="L57"/>
  <c r="K57"/>
  <c r="J57"/>
  <c r="I57"/>
  <c r="H57"/>
  <c r="G57"/>
  <c r="F57"/>
  <c r="E57"/>
  <c r="D57"/>
  <c r="C57"/>
  <c r="B57"/>
  <c r="W56"/>
  <c r="V56"/>
  <c r="U56"/>
  <c r="T56"/>
  <c r="S56"/>
  <c r="R56"/>
  <c r="Q56"/>
  <c r="P56"/>
  <c r="O56"/>
  <c r="N56"/>
  <c r="M56"/>
  <c r="L56"/>
  <c r="K56"/>
  <c r="J56"/>
  <c r="I56"/>
  <c r="H56"/>
  <c r="G56"/>
  <c r="F56"/>
  <c r="E56"/>
  <c r="D56"/>
  <c r="C56"/>
  <c r="B56"/>
  <c r="W55"/>
  <c r="V55"/>
  <c r="S55"/>
  <c r="R55"/>
  <c r="Q55"/>
  <c r="P55"/>
  <c r="O55"/>
  <c r="M55"/>
  <c r="L55"/>
  <c r="K55"/>
  <c r="J55"/>
  <c r="I55"/>
  <c r="H55"/>
  <c r="G55"/>
  <c r="F55"/>
  <c r="E55"/>
  <c r="D55"/>
  <c r="C55"/>
  <c r="B55"/>
  <c r="W54"/>
  <c r="V54"/>
  <c r="U54"/>
  <c r="T54"/>
  <c r="S54"/>
  <c r="R54"/>
  <c r="Q54"/>
  <c r="P54"/>
  <c r="O54"/>
  <c r="N54"/>
  <c r="M54"/>
  <c r="L54"/>
  <c r="K54"/>
  <c r="J54"/>
  <c r="I54"/>
  <c r="H54"/>
  <c r="G54"/>
  <c r="F54"/>
  <c r="E54"/>
  <c r="D54"/>
  <c r="C54"/>
  <c r="B54"/>
  <c r="W53"/>
  <c r="V53"/>
  <c r="U53"/>
  <c r="T53"/>
  <c r="S53"/>
  <c r="R53"/>
  <c r="Q53"/>
  <c r="P53"/>
  <c r="O53"/>
  <c r="N53"/>
  <c r="M53"/>
  <c r="L53"/>
  <c r="K53"/>
  <c r="J53"/>
  <c r="I53"/>
  <c r="H53"/>
  <c r="G53"/>
  <c r="F53"/>
  <c r="E53"/>
  <c r="D53"/>
  <c r="C53"/>
  <c r="B53"/>
  <c r="W52"/>
  <c r="V52"/>
  <c r="U52"/>
  <c r="T52"/>
  <c r="S52"/>
  <c r="R52"/>
  <c r="Q52"/>
  <c r="P52"/>
  <c r="O52"/>
  <c r="N52"/>
  <c r="M52"/>
  <c r="L52"/>
  <c r="K52"/>
  <c r="J52"/>
  <c r="I52"/>
  <c r="H52"/>
  <c r="G52"/>
  <c r="F52"/>
  <c r="E52"/>
  <c r="D52"/>
  <c r="C52"/>
  <c r="B52"/>
  <c r="W51"/>
  <c r="V51"/>
  <c r="U51"/>
  <c r="T51"/>
  <c r="S51"/>
  <c r="R51"/>
  <c r="Q51"/>
  <c r="P51"/>
  <c r="O51"/>
  <c r="N51"/>
  <c r="M51"/>
  <c r="L51"/>
  <c r="K51"/>
  <c r="J51"/>
  <c r="I51"/>
  <c r="H51"/>
  <c r="G51"/>
  <c r="F51"/>
  <c r="E51"/>
  <c r="D51"/>
  <c r="C51"/>
  <c r="B51"/>
  <c r="W50"/>
  <c r="V50"/>
  <c r="U50"/>
  <c r="T50"/>
  <c r="S50"/>
  <c r="R50"/>
  <c r="Q50"/>
  <c r="P50"/>
  <c r="O50"/>
  <c r="N50"/>
  <c r="M50"/>
  <c r="L50"/>
  <c r="K50"/>
  <c r="J50"/>
  <c r="I50"/>
  <c r="H50"/>
  <c r="G50"/>
  <c r="F50"/>
  <c r="E50"/>
  <c r="D50"/>
  <c r="C50"/>
  <c r="B50"/>
  <c r="W49"/>
  <c r="V49"/>
  <c r="U49"/>
  <c r="T49"/>
  <c r="S49"/>
  <c r="R49"/>
  <c r="Q49"/>
  <c r="P49"/>
  <c r="O49"/>
  <c r="N49"/>
  <c r="M49"/>
  <c r="L49"/>
  <c r="K49"/>
  <c r="J49"/>
  <c r="I49"/>
  <c r="H49"/>
  <c r="G49"/>
  <c r="F49"/>
  <c r="E49"/>
  <c r="D49"/>
  <c r="C49"/>
  <c r="B49"/>
  <c r="W48"/>
  <c r="V48"/>
  <c r="U48"/>
  <c r="T48"/>
  <c r="S48"/>
  <c r="R48"/>
  <c r="Q48"/>
  <c r="P48"/>
  <c r="O48"/>
  <c r="N48"/>
  <c r="M48"/>
  <c r="L48"/>
  <c r="K48"/>
  <c r="J48"/>
  <c r="I48"/>
  <c r="H48"/>
  <c r="G48"/>
  <c r="F48"/>
  <c r="E48"/>
  <c r="D48"/>
  <c r="C48"/>
  <c r="B48"/>
  <c r="W47"/>
  <c r="V47"/>
  <c r="U47"/>
  <c r="T47"/>
  <c r="S47"/>
  <c r="R47"/>
  <c r="Q47"/>
  <c r="P47"/>
  <c r="O47"/>
  <c r="N47"/>
  <c r="M47"/>
  <c r="L47"/>
  <c r="K47"/>
  <c r="J47"/>
  <c r="I47"/>
  <c r="H47"/>
  <c r="G47"/>
  <c r="F47"/>
  <c r="E47"/>
  <c r="C47"/>
  <c r="B47"/>
  <c r="W46"/>
  <c r="V46"/>
  <c r="U46"/>
  <c r="T46"/>
  <c r="S46"/>
  <c r="R46"/>
  <c r="Q46"/>
  <c r="P46"/>
  <c r="O46"/>
  <c r="N46"/>
  <c r="M46"/>
  <c r="L46"/>
  <c r="K46"/>
  <c r="J46"/>
  <c r="I46"/>
  <c r="H46"/>
  <c r="G46"/>
  <c r="F46"/>
  <c r="E46"/>
  <c r="D46"/>
  <c r="C46"/>
  <c r="B46"/>
  <c r="W45"/>
  <c r="V45"/>
  <c r="U45"/>
  <c r="T45"/>
  <c r="S45"/>
  <c r="R45"/>
  <c r="Q45"/>
  <c r="P45"/>
  <c r="O45"/>
  <c r="N45"/>
  <c r="M45"/>
  <c r="L45"/>
  <c r="K45"/>
  <c r="J45"/>
  <c r="I45"/>
  <c r="H45"/>
  <c r="G45"/>
  <c r="F45"/>
  <c r="E45"/>
  <c r="D45"/>
  <c r="C45"/>
  <c r="B45"/>
  <c r="W44"/>
  <c r="V44"/>
  <c r="U44"/>
  <c r="T44"/>
  <c r="S44"/>
  <c r="R44"/>
  <c r="Q44"/>
  <c r="P44"/>
  <c r="O44"/>
  <c r="N44"/>
  <c r="M44"/>
  <c r="L44"/>
  <c r="K44"/>
  <c r="J44"/>
  <c r="I44"/>
  <c r="H44"/>
  <c r="G44"/>
  <c r="F44"/>
  <c r="E44"/>
  <c r="D44"/>
  <c r="C44"/>
  <c r="B44"/>
  <c r="W43"/>
  <c r="V43"/>
  <c r="U43"/>
  <c r="T43"/>
  <c r="S43"/>
  <c r="R43"/>
  <c r="Q43"/>
  <c r="P43"/>
  <c r="O43"/>
  <c r="N43"/>
  <c r="M43"/>
  <c r="L43"/>
  <c r="K43"/>
  <c r="J43"/>
  <c r="I43"/>
  <c r="H43"/>
  <c r="G43"/>
  <c r="F43"/>
  <c r="E43"/>
  <c r="D43"/>
  <c r="C43"/>
  <c r="B43"/>
  <c r="W42"/>
  <c r="V42"/>
  <c r="U42"/>
  <c r="T42"/>
  <c r="S42"/>
  <c r="R42"/>
  <c r="Q42"/>
  <c r="P42"/>
  <c r="O42"/>
  <c r="N42"/>
  <c r="L42"/>
  <c r="K42"/>
  <c r="J42"/>
  <c r="I42"/>
  <c r="H42"/>
  <c r="G42"/>
  <c r="F42"/>
  <c r="E42"/>
  <c r="D42"/>
  <c r="C42"/>
  <c r="W41"/>
  <c r="V41"/>
  <c r="U41"/>
  <c r="T41"/>
  <c r="S41"/>
  <c r="R41"/>
  <c r="Q41"/>
  <c r="P41"/>
  <c r="O41"/>
  <c r="N41"/>
  <c r="M41"/>
  <c r="L41"/>
  <c r="K41"/>
  <c r="J41"/>
  <c r="I41"/>
  <c r="H41"/>
  <c r="G41"/>
  <c r="F41"/>
  <c r="E41"/>
  <c r="D41"/>
  <c r="C41"/>
  <c r="B41"/>
  <c r="W40"/>
  <c r="V40"/>
  <c r="U40"/>
  <c r="T40"/>
  <c r="S40"/>
  <c r="R40"/>
  <c r="Q40"/>
  <c r="P40"/>
  <c r="O40"/>
  <c r="N40"/>
  <c r="M40"/>
  <c r="L40"/>
  <c r="K40"/>
  <c r="J40"/>
  <c r="I40"/>
  <c r="H40"/>
  <c r="G40"/>
  <c r="F40"/>
  <c r="E40"/>
  <c r="D40"/>
  <c r="C40"/>
  <c r="B40"/>
  <c r="W39"/>
  <c r="V39"/>
  <c r="U39"/>
  <c r="T39"/>
  <c r="S39"/>
  <c r="R39"/>
  <c r="Q39"/>
  <c r="P39"/>
  <c r="O39"/>
  <c r="N39"/>
  <c r="M39"/>
  <c r="L39"/>
  <c r="K39"/>
  <c r="J39"/>
  <c r="I39"/>
  <c r="H39"/>
  <c r="G39"/>
  <c r="F39"/>
  <c r="E39"/>
  <c r="D39"/>
  <c r="C39"/>
  <c r="B39"/>
  <c r="W38"/>
  <c r="V38"/>
  <c r="U38"/>
  <c r="T38"/>
  <c r="S38"/>
  <c r="R38"/>
  <c r="Q38"/>
  <c r="P38"/>
  <c r="O38"/>
  <c r="N38"/>
  <c r="M38"/>
  <c r="L38"/>
  <c r="K38"/>
  <c r="J38"/>
  <c r="I38"/>
  <c r="H38"/>
  <c r="G38"/>
  <c r="F38"/>
  <c r="E38"/>
  <c r="D38"/>
  <c r="C38"/>
  <c r="B38"/>
  <c r="W37"/>
  <c r="V37"/>
  <c r="U37"/>
  <c r="T37"/>
  <c r="S37"/>
  <c r="R37"/>
  <c r="Q37"/>
  <c r="P37"/>
  <c r="O37"/>
  <c r="N37"/>
  <c r="M37"/>
  <c r="L37"/>
  <c r="K37"/>
  <c r="J37"/>
  <c r="I37"/>
  <c r="H37"/>
  <c r="G37"/>
  <c r="F37"/>
  <c r="E37"/>
  <c r="D37"/>
  <c r="C37"/>
  <c r="B37"/>
  <c r="W36"/>
  <c r="V36"/>
  <c r="U36"/>
  <c r="T36"/>
  <c r="S36"/>
  <c r="R36"/>
  <c r="Q36"/>
  <c r="P36"/>
  <c r="O36"/>
  <c r="N36"/>
  <c r="M36"/>
  <c r="L36"/>
  <c r="K36"/>
  <c r="J36"/>
  <c r="I36"/>
  <c r="H36"/>
  <c r="G36"/>
  <c r="F36"/>
  <c r="E36"/>
  <c r="D36"/>
  <c r="C36"/>
  <c r="B36"/>
  <c r="W35"/>
  <c r="V35"/>
  <c r="U35"/>
  <c r="T35"/>
  <c r="S35"/>
  <c r="R35"/>
  <c r="Q35"/>
  <c r="P35"/>
  <c r="O35"/>
  <c r="N35"/>
  <c r="M35"/>
  <c r="L35"/>
  <c r="K35"/>
  <c r="J35"/>
  <c r="I35"/>
  <c r="H35"/>
  <c r="G35"/>
  <c r="F35"/>
  <c r="E35"/>
  <c r="D35"/>
  <c r="C35"/>
  <c r="B35"/>
  <c r="W34"/>
  <c r="V34"/>
  <c r="U34"/>
  <c r="T34"/>
  <c r="S34"/>
  <c r="R34"/>
  <c r="Q34"/>
  <c r="P34"/>
  <c r="O34"/>
  <c r="N34"/>
  <c r="M34"/>
  <c r="L34"/>
  <c r="K34"/>
  <c r="J34"/>
  <c r="I34"/>
  <c r="H34"/>
  <c r="G34"/>
  <c r="F34"/>
  <c r="E34"/>
  <c r="D34"/>
  <c r="C34"/>
  <c r="B34"/>
  <c r="W33"/>
  <c r="S33"/>
  <c r="R33"/>
  <c r="Q33"/>
  <c r="P33"/>
  <c r="O33"/>
  <c r="N33"/>
  <c r="M33"/>
  <c r="L33"/>
  <c r="K33"/>
  <c r="J33"/>
  <c r="I33"/>
  <c r="H33"/>
  <c r="G33"/>
  <c r="F33"/>
  <c r="E33"/>
  <c r="D33"/>
  <c r="C33"/>
  <c r="B33"/>
  <c r="W32"/>
  <c r="V32"/>
  <c r="U32"/>
  <c r="T32"/>
  <c r="S32"/>
  <c r="R32"/>
  <c r="Q32"/>
  <c r="P32"/>
  <c r="O32"/>
  <c r="N32"/>
  <c r="M32"/>
  <c r="L32"/>
  <c r="K32"/>
  <c r="J32"/>
  <c r="I32"/>
  <c r="H32"/>
  <c r="G32"/>
  <c r="F32"/>
  <c r="E32"/>
  <c r="D32"/>
  <c r="C32"/>
  <c r="B32"/>
  <c r="W31"/>
  <c r="V31"/>
  <c r="U31"/>
  <c r="T31"/>
  <c r="S31"/>
  <c r="R31"/>
  <c r="Q31"/>
  <c r="P31"/>
  <c r="O31"/>
  <c r="N31"/>
  <c r="M31"/>
  <c r="L31"/>
  <c r="K31"/>
  <c r="J31"/>
  <c r="I31"/>
  <c r="H31"/>
  <c r="G31"/>
  <c r="F31"/>
  <c r="E31"/>
  <c r="D31"/>
  <c r="C31"/>
  <c r="B31"/>
  <c r="W30"/>
  <c r="V30"/>
  <c r="U30"/>
  <c r="T30"/>
  <c r="S30"/>
  <c r="R30"/>
  <c r="Q30"/>
  <c r="P30"/>
  <c r="O30"/>
  <c r="N30"/>
  <c r="M30"/>
  <c r="L30"/>
  <c r="K30"/>
  <c r="J30"/>
  <c r="I30"/>
  <c r="H30"/>
  <c r="G30"/>
  <c r="F30"/>
  <c r="E30"/>
  <c r="D30"/>
  <c r="C30"/>
  <c r="B30"/>
  <c r="W29"/>
  <c r="V29"/>
  <c r="U29"/>
  <c r="T29"/>
  <c r="S29"/>
  <c r="R29"/>
  <c r="Q29"/>
  <c r="P29"/>
  <c r="O29"/>
  <c r="N29"/>
  <c r="M29"/>
  <c r="L29"/>
  <c r="K29"/>
  <c r="J29"/>
  <c r="I29"/>
  <c r="H29"/>
  <c r="G29"/>
  <c r="F29"/>
  <c r="E29"/>
  <c r="D29"/>
  <c r="C29"/>
  <c r="B29"/>
  <c r="W28"/>
  <c r="V28"/>
  <c r="U28"/>
  <c r="T28"/>
  <c r="S28"/>
  <c r="R28"/>
  <c r="Q28"/>
  <c r="P28"/>
  <c r="O28"/>
  <c r="N28"/>
  <c r="M28"/>
  <c r="L28"/>
  <c r="K28"/>
  <c r="J28"/>
  <c r="I28"/>
  <c r="H28"/>
  <c r="G28"/>
  <c r="F28"/>
  <c r="E28"/>
  <c r="D28"/>
  <c r="C28"/>
  <c r="B28"/>
  <c r="W27"/>
  <c r="V27"/>
  <c r="U27"/>
  <c r="T27"/>
  <c r="S27"/>
  <c r="R27"/>
  <c r="Q27"/>
  <c r="P27"/>
  <c r="O27"/>
  <c r="N27"/>
  <c r="M27"/>
  <c r="L27"/>
  <c r="K27"/>
  <c r="J27"/>
  <c r="I27"/>
  <c r="H27"/>
  <c r="G27"/>
  <c r="F27"/>
  <c r="E27"/>
  <c r="D27"/>
  <c r="C27"/>
  <c r="B27"/>
  <c r="W26"/>
  <c r="V26"/>
  <c r="U26"/>
  <c r="T26"/>
  <c r="S26"/>
  <c r="R26"/>
  <c r="Q26"/>
  <c r="P26"/>
  <c r="O26"/>
  <c r="N26"/>
  <c r="M26"/>
  <c r="L26"/>
  <c r="K26"/>
  <c r="J26"/>
  <c r="I26"/>
  <c r="H26"/>
  <c r="G26"/>
  <c r="F26"/>
  <c r="E26"/>
  <c r="D26"/>
  <c r="W25"/>
  <c r="V25"/>
  <c r="U25"/>
  <c r="T25"/>
  <c r="S25"/>
  <c r="R25"/>
  <c r="Q25"/>
  <c r="P25"/>
  <c r="O25"/>
  <c r="M25"/>
  <c r="L25"/>
  <c r="K25"/>
  <c r="J25"/>
  <c r="I25"/>
  <c r="H25"/>
  <c r="G25"/>
  <c r="F25"/>
  <c r="E25"/>
  <c r="D25"/>
  <c r="C25"/>
  <c r="B25"/>
  <c r="W24"/>
  <c r="V24"/>
  <c r="U24"/>
  <c r="T24"/>
  <c r="S24"/>
  <c r="R24"/>
  <c r="Q24"/>
  <c r="P24"/>
  <c r="O24"/>
  <c r="N24"/>
  <c r="M24"/>
  <c r="L24"/>
  <c r="K24"/>
  <c r="J24"/>
  <c r="I24"/>
  <c r="H24"/>
  <c r="G24"/>
  <c r="F24"/>
  <c r="E24"/>
  <c r="D24"/>
  <c r="C24"/>
  <c r="B24"/>
  <c r="W23"/>
  <c r="V23"/>
  <c r="U23"/>
  <c r="T23"/>
  <c r="S23"/>
  <c r="R23"/>
  <c r="Q23"/>
  <c r="P23"/>
  <c r="O23"/>
  <c r="N23"/>
  <c r="M23"/>
  <c r="L23"/>
  <c r="K23"/>
  <c r="J23"/>
  <c r="I23"/>
  <c r="H23"/>
  <c r="G23"/>
  <c r="F23"/>
  <c r="E23"/>
  <c r="D23"/>
  <c r="C23"/>
  <c r="B23"/>
  <c r="W22"/>
  <c r="V22"/>
  <c r="U22"/>
  <c r="T22"/>
  <c r="S22"/>
  <c r="R22"/>
  <c r="Q22"/>
  <c r="P22"/>
  <c r="O22"/>
  <c r="N22"/>
  <c r="M22"/>
  <c r="L22"/>
  <c r="K22"/>
  <c r="J22"/>
  <c r="I22"/>
  <c r="H22"/>
  <c r="G22"/>
  <c r="F22"/>
  <c r="E22"/>
  <c r="D22"/>
  <c r="C22"/>
  <c r="B22"/>
  <c r="W21"/>
  <c r="V21"/>
  <c r="U21"/>
  <c r="T21"/>
  <c r="S21"/>
  <c r="R21"/>
  <c r="Q21"/>
  <c r="P21"/>
  <c r="O21"/>
  <c r="N21"/>
  <c r="M21"/>
  <c r="L21"/>
  <c r="K21"/>
  <c r="J21"/>
  <c r="I21"/>
  <c r="H21"/>
  <c r="G21"/>
  <c r="F21"/>
  <c r="E21"/>
  <c r="D21"/>
  <c r="C21"/>
  <c r="B21"/>
  <c r="W20"/>
  <c r="V20"/>
  <c r="U20"/>
  <c r="T20"/>
  <c r="S20"/>
  <c r="R20"/>
  <c r="Q20"/>
  <c r="P20"/>
  <c r="O20"/>
  <c r="N20"/>
  <c r="M20"/>
  <c r="L20"/>
  <c r="K20"/>
  <c r="J20"/>
  <c r="I20"/>
  <c r="H20"/>
  <c r="G20"/>
  <c r="F20"/>
  <c r="E20"/>
  <c r="D20"/>
  <c r="C20"/>
  <c r="B20"/>
  <c r="W19"/>
  <c r="V19"/>
  <c r="U19"/>
  <c r="T19"/>
  <c r="S19"/>
  <c r="R19"/>
  <c r="Q19"/>
  <c r="P19"/>
  <c r="O19"/>
  <c r="N19"/>
  <c r="M19"/>
  <c r="L19"/>
  <c r="K19"/>
  <c r="J19"/>
  <c r="I19"/>
  <c r="H19"/>
  <c r="G19"/>
  <c r="F19"/>
  <c r="E19"/>
  <c r="D19"/>
  <c r="C19"/>
  <c r="B19"/>
  <c r="W18"/>
  <c r="V18"/>
  <c r="U18"/>
  <c r="T18"/>
  <c r="S18"/>
  <c r="R18"/>
  <c r="Q18"/>
  <c r="P18"/>
  <c r="O18"/>
  <c r="N18"/>
  <c r="M18"/>
  <c r="L18"/>
  <c r="K18"/>
  <c r="J18"/>
  <c r="I18"/>
  <c r="H18"/>
  <c r="G18"/>
  <c r="F18"/>
  <c r="E18"/>
  <c r="D18"/>
  <c r="C18"/>
  <c r="B18"/>
  <c r="W17"/>
  <c r="V17"/>
  <c r="U17"/>
  <c r="T17"/>
  <c r="S17"/>
  <c r="R17"/>
  <c r="Q17"/>
  <c r="P17"/>
  <c r="O17"/>
  <c r="N17"/>
  <c r="W16"/>
  <c r="V16"/>
  <c r="U16"/>
  <c r="T16"/>
  <c r="S16"/>
  <c r="R16"/>
  <c r="Q16"/>
  <c r="P16"/>
  <c r="O16"/>
  <c r="N16"/>
  <c r="M16"/>
  <c r="L16"/>
  <c r="K16"/>
  <c r="H16"/>
  <c r="G16"/>
  <c r="F16"/>
  <c r="E16"/>
  <c r="D16"/>
  <c r="C16"/>
  <c r="B16"/>
  <c r="W15"/>
  <c r="V15"/>
  <c r="U15"/>
  <c r="T15"/>
  <c r="S15"/>
  <c r="R15"/>
  <c r="Q15"/>
  <c r="P15"/>
  <c r="O15"/>
  <c r="N15"/>
  <c r="M15"/>
  <c r="L15"/>
  <c r="K15"/>
  <c r="J15"/>
  <c r="I15"/>
  <c r="H15"/>
  <c r="G15"/>
  <c r="F15"/>
  <c r="E15"/>
  <c r="D15"/>
  <c r="C15"/>
  <c r="B15"/>
  <c r="W14"/>
  <c r="V14"/>
  <c r="U14"/>
  <c r="T14"/>
  <c r="S14"/>
  <c r="R14"/>
  <c r="Q14"/>
  <c r="P14"/>
  <c r="O14"/>
  <c r="N14"/>
  <c r="M14"/>
  <c r="L14"/>
  <c r="K14"/>
  <c r="J14"/>
  <c r="I14"/>
  <c r="H14"/>
  <c r="G14"/>
  <c r="F14"/>
  <c r="E14"/>
  <c r="D14"/>
  <c r="C14"/>
  <c r="B14"/>
  <c r="W13"/>
  <c r="V13"/>
  <c r="U13"/>
  <c r="T13"/>
  <c r="S13"/>
  <c r="R13"/>
  <c r="Q13"/>
  <c r="P13"/>
  <c r="O13"/>
  <c r="N13"/>
  <c r="M13"/>
  <c r="L13"/>
  <c r="K13"/>
  <c r="J13"/>
  <c r="I13"/>
  <c r="H13"/>
  <c r="G13"/>
  <c r="F13"/>
  <c r="E13"/>
  <c r="D13"/>
  <c r="C13"/>
  <c r="B13"/>
  <c r="W12"/>
  <c r="V12"/>
  <c r="U12"/>
  <c r="T12"/>
  <c r="S12"/>
  <c r="R12"/>
  <c r="Q12"/>
  <c r="P12"/>
  <c r="O12"/>
  <c r="N12"/>
  <c r="M12"/>
  <c r="L12"/>
  <c r="K12"/>
  <c r="J12"/>
  <c r="I12"/>
  <c r="H12"/>
  <c r="G12"/>
  <c r="F12"/>
  <c r="E12"/>
  <c r="D12"/>
  <c r="C12"/>
  <c r="B12"/>
  <c r="W11"/>
  <c r="V11"/>
  <c r="U11"/>
  <c r="T11"/>
  <c r="S11"/>
  <c r="R11"/>
  <c r="Q11"/>
  <c r="P11"/>
  <c r="O11"/>
  <c r="N11"/>
  <c r="M11"/>
  <c r="L11"/>
  <c r="K11"/>
  <c r="J11"/>
  <c r="I11"/>
  <c r="H11"/>
  <c r="G11"/>
  <c r="F11"/>
  <c r="E11"/>
  <c r="D11"/>
  <c r="C11"/>
  <c r="W10"/>
  <c r="V10"/>
  <c r="U10"/>
  <c r="T10"/>
  <c r="S10"/>
  <c r="R10"/>
  <c r="Q10"/>
  <c r="P10"/>
  <c r="O10"/>
  <c r="N10"/>
  <c r="M10"/>
  <c r="L10"/>
  <c r="K10"/>
  <c r="J10"/>
  <c r="I10"/>
  <c r="H10"/>
  <c r="G10"/>
  <c r="F10"/>
  <c r="E10"/>
  <c r="D10"/>
  <c r="C10"/>
  <c r="B10"/>
  <c r="W9"/>
  <c r="V9"/>
  <c r="U9"/>
  <c r="T9"/>
  <c r="S9"/>
  <c r="R9"/>
  <c r="Q9"/>
  <c r="P9"/>
  <c r="O9"/>
  <c r="N9"/>
  <c r="M9"/>
  <c r="L9"/>
  <c r="W8"/>
  <c r="V8"/>
  <c r="U8"/>
  <c r="T8"/>
  <c r="S8"/>
  <c r="R8"/>
  <c r="Q8"/>
  <c r="P8"/>
  <c r="O8"/>
  <c r="N8"/>
  <c r="M8"/>
  <c r="L8"/>
  <c r="K8"/>
  <c r="J8"/>
  <c r="I8"/>
  <c r="H8"/>
  <c r="G8"/>
  <c r="F8"/>
  <c r="E8"/>
  <c r="D8"/>
  <c r="C8"/>
  <c r="B8"/>
  <c r="W7"/>
  <c r="V7"/>
  <c r="U7"/>
  <c r="T7"/>
  <c r="S7"/>
  <c r="R7"/>
  <c r="Q7"/>
  <c r="P7"/>
  <c r="O7"/>
  <c r="N7"/>
  <c r="M7"/>
  <c r="L7"/>
  <c r="K7"/>
  <c r="J7"/>
  <c r="I7"/>
  <c r="H7"/>
  <c r="G7"/>
  <c r="F7"/>
  <c r="E7"/>
  <c r="D7"/>
  <c r="C7"/>
  <c r="B7"/>
  <c r="W6"/>
  <c r="V6"/>
  <c r="U6"/>
  <c r="T6"/>
  <c r="S6"/>
  <c r="R6"/>
  <c r="Q6"/>
  <c r="P6"/>
  <c r="O6"/>
  <c r="N6"/>
  <c r="M6"/>
  <c r="L6"/>
  <c r="K6"/>
  <c r="J6"/>
  <c r="I6"/>
  <c r="H6"/>
  <c r="G6"/>
  <c r="F6"/>
  <c r="E6"/>
  <c r="D6"/>
  <c r="C6"/>
  <c r="B6"/>
  <c r="W92" i="18"/>
  <c r="V92"/>
  <c r="U92"/>
  <c r="T92"/>
  <c r="S92"/>
  <c r="R92"/>
  <c r="Q92"/>
  <c r="P92"/>
  <c r="O92"/>
  <c r="N92"/>
  <c r="M92"/>
  <c r="L92"/>
  <c r="K92"/>
  <c r="J92"/>
  <c r="I92"/>
  <c r="H92"/>
  <c r="G92"/>
  <c r="F92"/>
  <c r="E92"/>
  <c r="D92"/>
  <c r="C92"/>
  <c r="B92"/>
  <c r="W91"/>
  <c r="V91"/>
  <c r="U91"/>
  <c r="T91"/>
  <c r="S91"/>
  <c r="R91"/>
  <c r="Q91"/>
  <c r="P91"/>
  <c r="O91"/>
  <c r="N91"/>
  <c r="M91"/>
  <c r="L91"/>
  <c r="J91"/>
  <c r="I91"/>
  <c r="H91"/>
  <c r="G91"/>
  <c r="F91"/>
  <c r="E91"/>
  <c r="D91"/>
  <c r="C91"/>
  <c r="B91"/>
  <c r="W90"/>
  <c r="V90"/>
  <c r="U90"/>
  <c r="T90"/>
  <c r="S90"/>
  <c r="R90"/>
  <c r="Q90"/>
  <c r="P90"/>
  <c r="O90"/>
  <c r="N90"/>
  <c r="M90"/>
  <c r="L90"/>
  <c r="K90"/>
  <c r="J90"/>
  <c r="I90"/>
  <c r="H90"/>
  <c r="G90"/>
  <c r="F90"/>
  <c r="E90"/>
  <c r="D90"/>
  <c r="C90"/>
  <c r="B90"/>
  <c r="W89"/>
  <c r="V89"/>
  <c r="U89"/>
  <c r="T89"/>
  <c r="S89"/>
  <c r="R89"/>
  <c r="Q89"/>
  <c r="P89"/>
  <c r="O89"/>
  <c r="N89"/>
  <c r="M89"/>
  <c r="L89"/>
  <c r="K89"/>
  <c r="J89"/>
  <c r="I89"/>
  <c r="H89"/>
  <c r="G89"/>
  <c r="F89"/>
  <c r="E89"/>
  <c r="D89"/>
  <c r="C89"/>
  <c r="B89"/>
  <c r="W88"/>
  <c r="V88"/>
  <c r="U88"/>
  <c r="T88"/>
  <c r="S88"/>
  <c r="R88"/>
  <c r="Q88"/>
  <c r="P88"/>
  <c r="O88"/>
  <c r="M88"/>
  <c r="L88"/>
  <c r="K88"/>
  <c r="J88"/>
  <c r="I88"/>
  <c r="H88"/>
  <c r="G88"/>
  <c r="F88"/>
  <c r="E88"/>
  <c r="D88"/>
  <c r="C88"/>
  <c r="W87"/>
  <c r="V87"/>
  <c r="U87"/>
  <c r="T87"/>
  <c r="S87"/>
  <c r="R87"/>
  <c r="Q87"/>
  <c r="P87"/>
  <c r="O87"/>
  <c r="N87"/>
  <c r="M87"/>
  <c r="L87"/>
  <c r="K87"/>
  <c r="J87"/>
  <c r="I87"/>
  <c r="H87"/>
  <c r="G87"/>
  <c r="F87"/>
  <c r="E87"/>
  <c r="D87"/>
  <c r="C87"/>
  <c r="B87"/>
  <c r="W86"/>
  <c r="V86"/>
  <c r="U86"/>
  <c r="T86"/>
  <c r="S86"/>
  <c r="R86"/>
  <c r="Q86"/>
  <c r="P86"/>
  <c r="O86"/>
  <c r="N86"/>
  <c r="M86"/>
  <c r="L86"/>
  <c r="K86"/>
  <c r="J86"/>
  <c r="I86"/>
  <c r="H86"/>
  <c r="G86"/>
  <c r="F86"/>
  <c r="E86"/>
  <c r="D86"/>
  <c r="W85"/>
  <c r="V85"/>
  <c r="U85"/>
  <c r="T85"/>
  <c r="S85"/>
  <c r="R85"/>
  <c r="Q85"/>
  <c r="P85"/>
  <c r="O85"/>
  <c r="N85"/>
  <c r="M85"/>
  <c r="L85"/>
  <c r="K85"/>
  <c r="J85"/>
  <c r="I85"/>
  <c r="H85"/>
  <c r="G85"/>
  <c r="F85"/>
  <c r="E85"/>
  <c r="D85"/>
  <c r="C85"/>
  <c r="B85"/>
  <c r="W84"/>
  <c r="V84"/>
  <c r="U84"/>
  <c r="T84"/>
  <c r="S84"/>
  <c r="R84"/>
  <c r="Q84"/>
  <c r="P84"/>
  <c r="O84"/>
  <c r="N84"/>
  <c r="M84"/>
  <c r="L84"/>
  <c r="K84"/>
  <c r="J84"/>
  <c r="I84"/>
  <c r="H84"/>
  <c r="G84"/>
  <c r="F84"/>
  <c r="E84"/>
  <c r="D84"/>
  <c r="C84"/>
  <c r="B84"/>
  <c r="W83"/>
  <c r="V83"/>
  <c r="U83"/>
  <c r="T83"/>
  <c r="S83"/>
  <c r="R83"/>
  <c r="Q83"/>
  <c r="P83"/>
  <c r="O83"/>
  <c r="N83"/>
  <c r="M83"/>
  <c r="L83"/>
  <c r="K83"/>
  <c r="J83"/>
  <c r="I83"/>
  <c r="H83"/>
  <c r="G83"/>
  <c r="F83"/>
  <c r="E83"/>
  <c r="D83"/>
  <c r="C83"/>
  <c r="B83"/>
  <c r="W82"/>
  <c r="V82"/>
  <c r="U82"/>
  <c r="T82"/>
  <c r="S82"/>
  <c r="R82"/>
  <c r="Q82"/>
  <c r="P82"/>
  <c r="O82"/>
  <c r="N82"/>
  <c r="M82"/>
  <c r="L82"/>
  <c r="K82"/>
  <c r="J82"/>
  <c r="I82"/>
  <c r="H82"/>
  <c r="G82"/>
  <c r="F82"/>
  <c r="E82"/>
  <c r="D82"/>
  <c r="C82"/>
  <c r="B82"/>
  <c r="W81"/>
  <c r="V81"/>
  <c r="U81"/>
  <c r="T81"/>
  <c r="S81"/>
  <c r="R81"/>
  <c r="Q81"/>
  <c r="P81"/>
  <c r="O81"/>
  <c r="N81"/>
  <c r="M81"/>
  <c r="L81"/>
  <c r="K81"/>
  <c r="J81"/>
  <c r="I81"/>
  <c r="H81"/>
  <c r="G81"/>
  <c r="F81"/>
  <c r="E81"/>
  <c r="D81"/>
  <c r="C81"/>
  <c r="B81"/>
  <c r="W80"/>
  <c r="V80"/>
  <c r="U80"/>
  <c r="T80"/>
  <c r="S80"/>
  <c r="R80"/>
  <c r="Q80"/>
  <c r="P80"/>
  <c r="O80"/>
  <c r="N80"/>
  <c r="M80"/>
  <c r="L80"/>
  <c r="K80"/>
  <c r="J80"/>
  <c r="I80"/>
  <c r="H80"/>
  <c r="G80"/>
  <c r="F80"/>
  <c r="E80"/>
  <c r="D80"/>
  <c r="C80"/>
  <c r="B80"/>
  <c r="W79"/>
  <c r="V79"/>
  <c r="U79"/>
  <c r="T79"/>
  <c r="S79"/>
  <c r="R79"/>
  <c r="Q79"/>
  <c r="W78"/>
  <c r="V78"/>
  <c r="U78"/>
  <c r="T78"/>
  <c r="S78"/>
  <c r="R78"/>
  <c r="Q78"/>
  <c r="P78"/>
  <c r="O78"/>
  <c r="N78"/>
  <c r="M78"/>
  <c r="L78"/>
  <c r="K78"/>
  <c r="J78"/>
  <c r="I78"/>
  <c r="H78"/>
  <c r="G78"/>
  <c r="F78"/>
  <c r="E78"/>
  <c r="D78"/>
  <c r="C78"/>
  <c r="B78"/>
  <c r="W77"/>
  <c r="V77"/>
  <c r="U77"/>
  <c r="T77"/>
  <c r="S77"/>
  <c r="R77"/>
  <c r="Q77"/>
  <c r="P77"/>
  <c r="O77"/>
  <c r="N77"/>
  <c r="M77"/>
  <c r="L77"/>
  <c r="K77"/>
  <c r="J77"/>
  <c r="I77"/>
  <c r="H77"/>
  <c r="G77"/>
  <c r="F77"/>
  <c r="E77"/>
  <c r="D77"/>
  <c r="C77"/>
  <c r="B77"/>
  <c r="W76"/>
  <c r="V76"/>
  <c r="U76"/>
  <c r="T76"/>
  <c r="S76"/>
  <c r="R76"/>
  <c r="Q76"/>
  <c r="P76"/>
  <c r="O76"/>
  <c r="N76"/>
  <c r="M76"/>
  <c r="L76"/>
  <c r="K76"/>
  <c r="J76"/>
  <c r="I76"/>
  <c r="H76"/>
  <c r="G76"/>
  <c r="F76"/>
  <c r="E76"/>
  <c r="D76"/>
  <c r="C76"/>
  <c r="B76"/>
  <c r="W75"/>
  <c r="V75"/>
  <c r="U75"/>
  <c r="T75"/>
  <c r="S75"/>
  <c r="R75"/>
  <c r="Q75"/>
  <c r="P75"/>
  <c r="O75"/>
  <c r="N75"/>
  <c r="M75"/>
  <c r="L75"/>
  <c r="K75"/>
  <c r="J75"/>
  <c r="I75"/>
  <c r="H75"/>
  <c r="G75"/>
  <c r="F75"/>
  <c r="E75"/>
  <c r="D75"/>
  <c r="C75"/>
  <c r="B75"/>
  <c r="W74"/>
  <c r="V74"/>
  <c r="U74"/>
  <c r="T74"/>
  <c r="S74"/>
  <c r="R74"/>
  <c r="Q74"/>
  <c r="P74"/>
  <c r="O74"/>
  <c r="N74"/>
  <c r="M74"/>
  <c r="L74"/>
  <c r="K74"/>
  <c r="J74"/>
  <c r="I74"/>
  <c r="H74"/>
  <c r="G74"/>
  <c r="F74"/>
  <c r="E74"/>
  <c r="D74"/>
  <c r="C74"/>
  <c r="B74"/>
  <c r="W73"/>
  <c r="V73"/>
  <c r="U73"/>
  <c r="T73"/>
  <c r="S73"/>
  <c r="R73"/>
  <c r="Q73"/>
  <c r="P73"/>
  <c r="O73"/>
  <c r="N73"/>
  <c r="M73"/>
  <c r="L73"/>
  <c r="K73"/>
  <c r="J73"/>
  <c r="I73"/>
  <c r="H73"/>
  <c r="G73"/>
  <c r="F73"/>
  <c r="E73"/>
  <c r="D73"/>
  <c r="C73"/>
  <c r="B73"/>
  <c r="W72"/>
  <c r="V72"/>
  <c r="U72"/>
  <c r="T72"/>
  <c r="S72"/>
  <c r="R72"/>
  <c r="Q72"/>
  <c r="P72"/>
  <c r="O72"/>
  <c r="N72"/>
  <c r="M72"/>
  <c r="L72"/>
  <c r="K72"/>
  <c r="J72"/>
  <c r="I72"/>
  <c r="H72"/>
  <c r="G72"/>
  <c r="F72"/>
  <c r="E72"/>
  <c r="D72"/>
  <c r="C72"/>
  <c r="B72"/>
  <c r="V71"/>
  <c r="U71"/>
  <c r="T71"/>
  <c r="S71"/>
  <c r="R71"/>
  <c r="Q71"/>
  <c r="P71"/>
  <c r="O71"/>
  <c r="N71"/>
  <c r="M71"/>
  <c r="L71"/>
  <c r="K71"/>
  <c r="J71"/>
  <c r="I71"/>
  <c r="H71"/>
  <c r="G71"/>
  <c r="F71"/>
  <c r="E71"/>
  <c r="D71"/>
  <c r="C71"/>
  <c r="B71"/>
  <c r="W70"/>
  <c r="V70"/>
  <c r="U70"/>
  <c r="T70"/>
  <c r="S70"/>
  <c r="R70"/>
  <c r="Q70"/>
  <c r="P70"/>
  <c r="O70"/>
  <c r="N70"/>
  <c r="M70"/>
  <c r="L70"/>
  <c r="K70"/>
  <c r="J70"/>
  <c r="I70"/>
  <c r="H70"/>
  <c r="G70"/>
  <c r="F70"/>
  <c r="E70"/>
  <c r="D70"/>
  <c r="C70"/>
  <c r="B70"/>
  <c r="W69"/>
  <c r="V69"/>
  <c r="U69"/>
  <c r="T69"/>
  <c r="S69"/>
  <c r="R69"/>
  <c r="Q69"/>
  <c r="P69"/>
  <c r="O69"/>
  <c r="N69"/>
  <c r="M69"/>
  <c r="L69"/>
  <c r="K69"/>
  <c r="J69"/>
  <c r="I69"/>
  <c r="H69"/>
  <c r="G69"/>
  <c r="F69"/>
  <c r="E69"/>
  <c r="D69"/>
  <c r="C69"/>
  <c r="B69"/>
  <c r="W68"/>
  <c r="V68"/>
  <c r="U68"/>
  <c r="T68"/>
  <c r="S68"/>
  <c r="R68"/>
  <c r="Q68"/>
  <c r="P68"/>
  <c r="O68"/>
  <c r="N68"/>
  <c r="M68"/>
  <c r="L68"/>
  <c r="K68"/>
  <c r="J68"/>
  <c r="I68"/>
  <c r="H68"/>
  <c r="G68"/>
  <c r="F68"/>
  <c r="E68"/>
  <c r="D68"/>
  <c r="C68"/>
  <c r="B68"/>
  <c r="V67"/>
  <c r="U67"/>
  <c r="T67"/>
  <c r="S67"/>
  <c r="R67"/>
  <c r="Q67"/>
  <c r="P67"/>
  <c r="O67"/>
  <c r="N67"/>
  <c r="M67"/>
  <c r="L67"/>
  <c r="K67"/>
  <c r="J67"/>
  <c r="I67"/>
  <c r="H67"/>
  <c r="G67"/>
  <c r="F67"/>
  <c r="E67"/>
  <c r="D67"/>
  <c r="C67"/>
  <c r="B67"/>
  <c r="W66"/>
  <c r="V66"/>
  <c r="U66"/>
  <c r="T66"/>
  <c r="S66"/>
  <c r="R66"/>
  <c r="Q66"/>
  <c r="P66"/>
  <c r="O66"/>
  <c r="N66"/>
  <c r="M66"/>
  <c r="L66"/>
  <c r="K66"/>
  <c r="J66"/>
  <c r="I66"/>
  <c r="H66"/>
  <c r="G66"/>
  <c r="F66"/>
  <c r="E66"/>
  <c r="D66"/>
  <c r="C66"/>
  <c r="B66"/>
  <c r="W65"/>
  <c r="V65"/>
  <c r="U65"/>
  <c r="T65"/>
  <c r="S65"/>
  <c r="R65"/>
  <c r="Q65"/>
  <c r="P65"/>
  <c r="O65"/>
  <c r="N65"/>
  <c r="M65"/>
  <c r="L65"/>
  <c r="K65"/>
  <c r="J65"/>
  <c r="G65"/>
  <c r="F65"/>
  <c r="E65"/>
  <c r="D65"/>
  <c r="C65"/>
  <c r="B65"/>
  <c r="W64"/>
  <c r="V64"/>
  <c r="U64"/>
  <c r="T64"/>
  <c r="S64"/>
  <c r="R64"/>
  <c r="Q64"/>
  <c r="P64"/>
  <c r="O64"/>
  <c r="N64"/>
  <c r="M64"/>
  <c r="L64"/>
  <c r="K64"/>
  <c r="J64"/>
  <c r="I64"/>
  <c r="H64"/>
  <c r="G64"/>
  <c r="F64"/>
  <c r="E64"/>
  <c r="D64"/>
  <c r="C64"/>
  <c r="B64"/>
  <c r="W63"/>
  <c r="V63"/>
  <c r="U63"/>
  <c r="T63"/>
  <c r="S63"/>
  <c r="R63"/>
  <c r="Q63"/>
  <c r="P63"/>
  <c r="O63"/>
  <c r="N63"/>
  <c r="M63"/>
  <c r="L63"/>
  <c r="K63"/>
  <c r="J63"/>
  <c r="I63"/>
  <c r="H63"/>
  <c r="G63"/>
  <c r="F63"/>
  <c r="E63"/>
  <c r="D63"/>
  <c r="C63"/>
  <c r="B63"/>
  <c r="W62"/>
  <c r="V62"/>
  <c r="U62"/>
  <c r="T62"/>
  <c r="S62"/>
  <c r="R62"/>
  <c r="Q62"/>
  <c r="P62"/>
  <c r="O62"/>
  <c r="N62"/>
  <c r="M62"/>
  <c r="L62"/>
  <c r="K62"/>
  <c r="J62"/>
  <c r="I62"/>
  <c r="H62"/>
  <c r="G62"/>
  <c r="F62"/>
  <c r="E62"/>
  <c r="D62"/>
  <c r="C62"/>
  <c r="B62"/>
  <c r="W61"/>
  <c r="V61"/>
  <c r="U61"/>
  <c r="T61"/>
  <c r="S61"/>
  <c r="R61"/>
  <c r="Q61"/>
  <c r="P61"/>
  <c r="O61"/>
  <c r="N61"/>
  <c r="M61"/>
  <c r="L61"/>
  <c r="K61"/>
  <c r="J61"/>
  <c r="I61"/>
  <c r="H61"/>
  <c r="G61"/>
  <c r="F61"/>
  <c r="E61"/>
  <c r="D61"/>
  <c r="C61"/>
  <c r="B61"/>
  <c r="W60"/>
  <c r="V60"/>
  <c r="U60"/>
  <c r="T60"/>
  <c r="S60"/>
  <c r="R60"/>
  <c r="Q60"/>
  <c r="P60"/>
  <c r="O60"/>
  <c r="N60"/>
  <c r="M60"/>
  <c r="L60"/>
  <c r="K60"/>
  <c r="J60"/>
  <c r="I60"/>
  <c r="H60"/>
  <c r="G60"/>
  <c r="F60"/>
  <c r="E60"/>
  <c r="D60"/>
  <c r="C60"/>
  <c r="B60"/>
  <c r="W59"/>
  <c r="V59"/>
  <c r="U59"/>
  <c r="T59"/>
  <c r="S59"/>
  <c r="R59"/>
  <c r="Q59"/>
  <c r="P59"/>
  <c r="O59"/>
  <c r="N59"/>
  <c r="M59"/>
  <c r="L59"/>
  <c r="K59"/>
  <c r="J59"/>
  <c r="I59"/>
  <c r="H59"/>
  <c r="G59"/>
  <c r="F59"/>
  <c r="E59"/>
  <c r="D59"/>
  <c r="C59"/>
  <c r="B59"/>
  <c r="W58"/>
  <c r="V58"/>
  <c r="U58"/>
  <c r="T58"/>
  <c r="S58"/>
  <c r="R58"/>
  <c r="Q58"/>
  <c r="P58"/>
  <c r="O58"/>
  <c r="N58"/>
  <c r="M58"/>
  <c r="L58"/>
  <c r="K58"/>
  <c r="J58"/>
  <c r="I58"/>
  <c r="H58"/>
  <c r="G58"/>
  <c r="F58"/>
  <c r="E58"/>
  <c r="D58"/>
  <c r="C58"/>
  <c r="B58"/>
  <c r="W57"/>
  <c r="V57"/>
  <c r="U57"/>
  <c r="T57"/>
  <c r="S57"/>
  <c r="R57"/>
  <c r="Q57"/>
  <c r="P57"/>
  <c r="O57"/>
  <c r="N57"/>
  <c r="M57"/>
  <c r="L57"/>
  <c r="K57"/>
  <c r="J57"/>
  <c r="I57"/>
  <c r="H57"/>
  <c r="G57"/>
  <c r="F57"/>
  <c r="E57"/>
  <c r="D57"/>
  <c r="C57"/>
  <c r="B57"/>
  <c r="W56"/>
  <c r="V56"/>
  <c r="S56"/>
  <c r="R56"/>
  <c r="Q56"/>
  <c r="P56"/>
  <c r="O56"/>
  <c r="M56"/>
  <c r="L56"/>
  <c r="K56"/>
  <c r="J56"/>
  <c r="I56"/>
  <c r="H56"/>
  <c r="G56"/>
  <c r="F56"/>
  <c r="E56"/>
  <c r="D56"/>
  <c r="C56"/>
  <c r="B56"/>
  <c r="W55"/>
  <c r="V55"/>
  <c r="U55"/>
  <c r="T55"/>
  <c r="S55"/>
  <c r="R55"/>
  <c r="Q55"/>
  <c r="P55"/>
  <c r="O55"/>
  <c r="N55"/>
  <c r="M55"/>
  <c r="L55"/>
  <c r="K55"/>
  <c r="J55"/>
  <c r="I55"/>
  <c r="H55"/>
  <c r="G55"/>
  <c r="F55"/>
  <c r="E55"/>
  <c r="D55"/>
  <c r="C55"/>
  <c r="B55"/>
  <c r="W54"/>
  <c r="V54"/>
  <c r="U54"/>
  <c r="T54"/>
  <c r="S54"/>
  <c r="R54"/>
  <c r="Q54"/>
  <c r="P54"/>
  <c r="O54"/>
  <c r="N54"/>
  <c r="M54"/>
  <c r="L54"/>
  <c r="K54"/>
  <c r="J54"/>
  <c r="I54"/>
  <c r="H54"/>
  <c r="G54"/>
  <c r="F54"/>
  <c r="E54"/>
  <c r="D54"/>
  <c r="C54"/>
  <c r="B54"/>
  <c r="W53"/>
  <c r="V53"/>
  <c r="U53"/>
  <c r="T53"/>
  <c r="S53"/>
  <c r="R53"/>
  <c r="Q53"/>
  <c r="P53"/>
  <c r="O53"/>
  <c r="N53"/>
  <c r="M53"/>
  <c r="L53"/>
  <c r="K53"/>
  <c r="J53"/>
  <c r="I53"/>
  <c r="H53"/>
  <c r="G53"/>
  <c r="F53"/>
  <c r="E53"/>
  <c r="D53"/>
  <c r="C53"/>
  <c r="B53"/>
  <c r="W52"/>
  <c r="V52"/>
  <c r="U52"/>
  <c r="T52"/>
  <c r="S52"/>
  <c r="R52"/>
  <c r="Q52"/>
  <c r="P52"/>
  <c r="O52"/>
  <c r="N52"/>
  <c r="M52"/>
  <c r="L52"/>
  <c r="K52"/>
  <c r="J52"/>
  <c r="I52"/>
  <c r="H52"/>
  <c r="G52"/>
  <c r="F52"/>
  <c r="E52"/>
  <c r="D52"/>
  <c r="C52"/>
  <c r="B52"/>
  <c r="W51"/>
  <c r="V51"/>
  <c r="U51"/>
  <c r="T51"/>
  <c r="S51"/>
  <c r="R51"/>
  <c r="Q51"/>
  <c r="P51"/>
  <c r="O51"/>
  <c r="N51"/>
  <c r="M51"/>
  <c r="L51"/>
  <c r="K51"/>
  <c r="J51"/>
  <c r="I51"/>
  <c r="H51"/>
  <c r="G51"/>
  <c r="F51"/>
  <c r="E51"/>
  <c r="D51"/>
  <c r="C51"/>
  <c r="B51"/>
  <c r="W50"/>
  <c r="V50"/>
  <c r="U50"/>
  <c r="T50"/>
  <c r="S50"/>
  <c r="R50"/>
  <c r="Q50"/>
  <c r="P50"/>
  <c r="O50"/>
  <c r="N50"/>
  <c r="M50"/>
  <c r="L50"/>
  <c r="K50"/>
  <c r="J50"/>
  <c r="I50"/>
  <c r="H50"/>
  <c r="G50"/>
  <c r="F50"/>
  <c r="E50"/>
  <c r="D50"/>
  <c r="C50"/>
  <c r="B50"/>
  <c r="W49"/>
  <c r="V49"/>
  <c r="U49"/>
  <c r="T49"/>
  <c r="S49"/>
  <c r="R49"/>
  <c r="Q49"/>
  <c r="P49"/>
  <c r="O49"/>
  <c r="N49"/>
  <c r="M49"/>
  <c r="L49"/>
  <c r="K49"/>
  <c r="J49"/>
  <c r="I49"/>
  <c r="H49"/>
  <c r="G49"/>
  <c r="F49"/>
  <c r="E49"/>
  <c r="D49"/>
  <c r="C49"/>
  <c r="B49"/>
  <c r="W48"/>
  <c r="V48"/>
  <c r="U48"/>
  <c r="T48"/>
  <c r="S48"/>
  <c r="R48"/>
  <c r="Q48"/>
  <c r="P48"/>
  <c r="O48"/>
  <c r="N48"/>
  <c r="M48"/>
  <c r="L48"/>
  <c r="K48"/>
  <c r="J48"/>
  <c r="I48"/>
  <c r="H48"/>
  <c r="G48"/>
  <c r="F48"/>
  <c r="E48"/>
  <c r="C48"/>
  <c r="B48"/>
  <c r="W47"/>
  <c r="V47"/>
  <c r="U47"/>
  <c r="T47"/>
  <c r="S47"/>
  <c r="R47"/>
  <c r="Q47"/>
  <c r="P47"/>
  <c r="O47"/>
  <c r="N47"/>
  <c r="M47"/>
  <c r="L47"/>
  <c r="K47"/>
  <c r="J47"/>
  <c r="I47"/>
  <c r="H47"/>
  <c r="G47"/>
  <c r="F47"/>
  <c r="E47"/>
  <c r="D47"/>
  <c r="C47"/>
  <c r="B47"/>
  <c r="W46"/>
  <c r="V46"/>
  <c r="U46"/>
  <c r="T46"/>
  <c r="S46"/>
  <c r="R46"/>
  <c r="Q46"/>
  <c r="P46"/>
  <c r="O46"/>
  <c r="N46"/>
  <c r="M46"/>
  <c r="L46"/>
  <c r="K46"/>
  <c r="J46"/>
  <c r="I46"/>
  <c r="H46"/>
  <c r="G46"/>
  <c r="F46"/>
  <c r="E46"/>
  <c r="D46"/>
  <c r="C46"/>
  <c r="B46"/>
  <c r="W45"/>
  <c r="V45"/>
  <c r="U45"/>
  <c r="T45"/>
  <c r="S45"/>
  <c r="R45"/>
  <c r="Q45"/>
  <c r="P45"/>
  <c r="O45"/>
  <c r="N45"/>
  <c r="M45"/>
  <c r="L45"/>
  <c r="K45"/>
  <c r="J45"/>
  <c r="I45"/>
  <c r="H45"/>
  <c r="G45"/>
  <c r="F45"/>
  <c r="E45"/>
  <c r="D45"/>
  <c r="C45"/>
  <c r="B45"/>
  <c r="W44"/>
  <c r="V44"/>
  <c r="U44"/>
  <c r="T44"/>
  <c r="S44"/>
  <c r="R44"/>
  <c r="Q44"/>
  <c r="P44"/>
  <c r="O44"/>
  <c r="N44"/>
  <c r="M44"/>
  <c r="L44"/>
  <c r="K44"/>
  <c r="J44"/>
  <c r="I44"/>
  <c r="H44"/>
  <c r="G44"/>
  <c r="F44"/>
  <c r="E44"/>
  <c r="D44"/>
  <c r="C44"/>
  <c r="B44"/>
  <c r="W43"/>
  <c r="V43"/>
  <c r="U43"/>
  <c r="T43"/>
  <c r="S43"/>
  <c r="R43"/>
  <c r="Q43"/>
  <c r="P43"/>
  <c r="O43"/>
  <c r="N43"/>
  <c r="L43"/>
  <c r="K43"/>
  <c r="J43"/>
  <c r="I43"/>
  <c r="H43"/>
  <c r="G43"/>
  <c r="F43"/>
  <c r="E43"/>
  <c r="D43"/>
  <c r="C43"/>
  <c r="W42"/>
  <c r="V42"/>
  <c r="U42"/>
  <c r="T42"/>
  <c r="S42"/>
  <c r="R42"/>
  <c r="Q42"/>
  <c r="P42"/>
  <c r="O42"/>
  <c r="N42"/>
  <c r="M42"/>
  <c r="L42"/>
  <c r="K42"/>
  <c r="J42"/>
  <c r="I42"/>
  <c r="H42"/>
  <c r="G42"/>
  <c r="F42"/>
  <c r="E42"/>
  <c r="D42"/>
  <c r="C42"/>
  <c r="B42"/>
  <c r="W41"/>
  <c r="V41"/>
  <c r="U41"/>
  <c r="T41"/>
  <c r="S41"/>
  <c r="R41"/>
  <c r="Q41"/>
  <c r="P41"/>
  <c r="O41"/>
  <c r="N41"/>
  <c r="M41"/>
  <c r="L41"/>
  <c r="K41"/>
  <c r="J41"/>
  <c r="I41"/>
  <c r="H41"/>
  <c r="G41"/>
  <c r="F41"/>
  <c r="E41"/>
  <c r="D41"/>
  <c r="C41"/>
  <c r="B41"/>
  <c r="W40"/>
  <c r="V40"/>
  <c r="U40"/>
  <c r="T40"/>
  <c r="S40"/>
  <c r="R40"/>
  <c r="Q40"/>
  <c r="P40"/>
  <c r="O40"/>
  <c r="N40"/>
  <c r="M40"/>
  <c r="L40"/>
  <c r="K40"/>
  <c r="J40"/>
  <c r="I40"/>
  <c r="H40"/>
  <c r="G40"/>
  <c r="F40"/>
  <c r="E40"/>
  <c r="D40"/>
  <c r="C40"/>
  <c r="B40"/>
  <c r="W39"/>
  <c r="V39"/>
  <c r="U39"/>
  <c r="T39"/>
  <c r="S39"/>
  <c r="R39"/>
  <c r="Q39"/>
  <c r="P39"/>
  <c r="O39"/>
  <c r="N39"/>
  <c r="M39"/>
  <c r="L39"/>
  <c r="K39"/>
  <c r="J39"/>
  <c r="I39"/>
  <c r="H39"/>
  <c r="G39"/>
  <c r="F39"/>
  <c r="E39"/>
  <c r="D39"/>
  <c r="C39"/>
  <c r="B39"/>
  <c r="W38"/>
  <c r="V38"/>
  <c r="U38"/>
  <c r="T38"/>
  <c r="S38"/>
  <c r="R38"/>
  <c r="Q38"/>
  <c r="P38"/>
  <c r="O38"/>
  <c r="N38"/>
  <c r="M38"/>
  <c r="L38"/>
  <c r="K38"/>
  <c r="J38"/>
  <c r="I38"/>
  <c r="H38"/>
  <c r="G38"/>
  <c r="F38"/>
  <c r="E38"/>
  <c r="D38"/>
  <c r="C38"/>
  <c r="B38"/>
  <c r="W37"/>
  <c r="V37"/>
  <c r="U37"/>
  <c r="T37"/>
  <c r="S37"/>
  <c r="R37"/>
  <c r="Q37"/>
  <c r="P37"/>
  <c r="O37"/>
  <c r="N37"/>
  <c r="M37"/>
  <c r="L37"/>
  <c r="K37"/>
  <c r="J37"/>
  <c r="I37"/>
  <c r="H37"/>
  <c r="G37"/>
  <c r="F37"/>
  <c r="E37"/>
  <c r="D37"/>
  <c r="C37"/>
  <c r="B37"/>
  <c r="W36"/>
  <c r="V36"/>
  <c r="U36"/>
  <c r="T36"/>
  <c r="S36"/>
  <c r="R36"/>
  <c r="Q36"/>
  <c r="P36"/>
  <c r="O36"/>
  <c r="N36"/>
  <c r="M36"/>
  <c r="L36"/>
  <c r="K36"/>
  <c r="J36"/>
  <c r="I36"/>
  <c r="H36"/>
  <c r="G36"/>
  <c r="F36"/>
  <c r="E36"/>
  <c r="D36"/>
  <c r="C36"/>
  <c r="B36"/>
  <c r="W35"/>
  <c r="V35"/>
  <c r="U35"/>
  <c r="T35"/>
  <c r="S35"/>
  <c r="R35"/>
  <c r="Q35"/>
  <c r="P35"/>
  <c r="O35"/>
  <c r="N35"/>
  <c r="M35"/>
  <c r="L35"/>
  <c r="K35"/>
  <c r="J35"/>
  <c r="I35"/>
  <c r="H35"/>
  <c r="G35"/>
  <c r="F35"/>
  <c r="E35"/>
  <c r="D35"/>
  <c r="C35"/>
  <c r="B35"/>
  <c r="W34"/>
  <c r="S34"/>
  <c r="R34"/>
  <c r="Q34"/>
  <c r="P34"/>
  <c r="O34"/>
  <c r="N34"/>
  <c r="M34"/>
  <c r="L34"/>
  <c r="K34"/>
  <c r="J34"/>
  <c r="I34"/>
  <c r="H34"/>
  <c r="G34"/>
  <c r="F34"/>
  <c r="E34"/>
  <c r="D34"/>
  <c r="C34"/>
  <c r="B34"/>
  <c r="W33"/>
  <c r="V33"/>
  <c r="U33"/>
  <c r="T33"/>
  <c r="S33"/>
  <c r="R33"/>
  <c r="Q33"/>
  <c r="P33"/>
  <c r="O33"/>
  <c r="N33"/>
  <c r="M33"/>
  <c r="L33"/>
  <c r="K33"/>
  <c r="J33"/>
  <c r="I33"/>
  <c r="H33"/>
  <c r="G33"/>
  <c r="F33"/>
  <c r="E33"/>
  <c r="D33"/>
  <c r="C33"/>
  <c r="B33"/>
  <c r="W32"/>
  <c r="V32"/>
  <c r="U32"/>
  <c r="T32"/>
  <c r="S32"/>
  <c r="R32"/>
  <c r="Q32"/>
  <c r="P32"/>
  <c r="O32"/>
  <c r="N32"/>
  <c r="M32"/>
  <c r="L32"/>
  <c r="K32"/>
  <c r="J32"/>
  <c r="I32"/>
  <c r="H32"/>
  <c r="G32"/>
  <c r="F32"/>
  <c r="E32"/>
  <c r="D32"/>
  <c r="C32"/>
  <c r="B32"/>
  <c r="W31"/>
  <c r="V31"/>
  <c r="U31"/>
  <c r="T31"/>
  <c r="S31"/>
  <c r="R31"/>
  <c r="Q31"/>
  <c r="P31"/>
  <c r="O31"/>
  <c r="N31"/>
  <c r="M31"/>
  <c r="L31"/>
  <c r="K31"/>
  <c r="J31"/>
  <c r="I31"/>
  <c r="H31"/>
  <c r="G31"/>
  <c r="F31"/>
  <c r="E31"/>
  <c r="D31"/>
  <c r="C31"/>
  <c r="B31"/>
  <c r="W30"/>
  <c r="V30"/>
  <c r="U30"/>
  <c r="T30"/>
  <c r="S30"/>
  <c r="R30"/>
  <c r="Q30"/>
  <c r="P30"/>
  <c r="O30"/>
  <c r="N30"/>
  <c r="M30"/>
  <c r="L30"/>
  <c r="K30"/>
  <c r="J30"/>
  <c r="I30"/>
  <c r="H30"/>
  <c r="G30"/>
  <c r="F30"/>
  <c r="E30"/>
  <c r="D30"/>
  <c r="C30"/>
  <c r="B30"/>
  <c r="W29"/>
  <c r="V29"/>
  <c r="U29"/>
  <c r="T29"/>
  <c r="S29"/>
  <c r="R29"/>
  <c r="Q29"/>
  <c r="P29"/>
  <c r="O29"/>
  <c r="N29"/>
  <c r="M29"/>
  <c r="L29"/>
  <c r="K29"/>
  <c r="J29"/>
  <c r="I29"/>
  <c r="H29"/>
  <c r="G29"/>
  <c r="F29"/>
  <c r="E29"/>
  <c r="D29"/>
  <c r="C29"/>
  <c r="B29"/>
  <c r="W28"/>
  <c r="V28"/>
  <c r="U28"/>
  <c r="T28"/>
  <c r="S28"/>
  <c r="R28"/>
  <c r="Q28"/>
  <c r="P28"/>
  <c r="O28"/>
  <c r="N28"/>
  <c r="M28"/>
  <c r="L28"/>
  <c r="K28"/>
  <c r="J28"/>
  <c r="I28"/>
  <c r="H28"/>
  <c r="G28"/>
  <c r="F28"/>
  <c r="E28"/>
  <c r="D28"/>
  <c r="C28"/>
  <c r="B28"/>
  <c r="W27"/>
  <c r="V27"/>
  <c r="U27"/>
  <c r="T27"/>
  <c r="S27"/>
  <c r="R27"/>
  <c r="Q27"/>
  <c r="P27"/>
  <c r="O27"/>
  <c r="N27"/>
  <c r="M27"/>
  <c r="L27"/>
  <c r="K27"/>
  <c r="J27"/>
  <c r="I27"/>
  <c r="H27"/>
  <c r="G27"/>
  <c r="F27"/>
  <c r="E27"/>
  <c r="D27"/>
  <c r="W26"/>
  <c r="V26"/>
  <c r="U26"/>
  <c r="T26"/>
  <c r="S26"/>
  <c r="R26"/>
  <c r="Q26"/>
  <c r="P26"/>
  <c r="O26"/>
  <c r="M26"/>
  <c r="L26"/>
  <c r="K26"/>
  <c r="J26"/>
  <c r="I26"/>
  <c r="H26"/>
  <c r="G26"/>
  <c r="F26"/>
  <c r="E26"/>
  <c r="D26"/>
  <c r="C26"/>
  <c r="B26"/>
  <c r="W25"/>
  <c r="V25"/>
  <c r="U25"/>
  <c r="T25"/>
  <c r="S25"/>
  <c r="R25"/>
  <c r="Q25"/>
  <c r="P25"/>
  <c r="O25"/>
  <c r="N25"/>
  <c r="M25"/>
  <c r="L25"/>
  <c r="K25"/>
  <c r="J25"/>
  <c r="I25"/>
  <c r="H25"/>
  <c r="G25"/>
  <c r="F25"/>
  <c r="E25"/>
  <c r="D25"/>
  <c r="C25"/>
  <c r="B25"/>
  <c r="W24"/>
  <c r="V24"/>
  <c r="U24"/>
  <c r="T24"/>
  <c r="S24"/>
  <c r="R24"/>
  <c r="Q24"/>
  <c r="P24"/>
  <c r="O24"/>
  <c r="N24"/>
  <c r="M24"/>
  <c r="L24"/>
  <c r="K24"/>
  <c r="J24"/>
  <c r="I24"/>
  <c r="H24"/>
  <c r="G24"/>
  <c r="F24"/>
  <c r="E24"/>
  <c r="D24"/>
  <c r="C24"/>
  <c r="B24"/>
  <c r="W23"/>
  <c r="V23"/>
  <c r="U23"/>
  <c r="T23"/>
  <c r="S23"/>
  <c r="R23"/>
  <c r="Q23"/>
  <c r="P23"/>
  <c r="O23"/>
  <c r="N23"/>
  <c r="M23"/>
  <c r="L23"/>
  <c r="K23"/>
  <c r="J23"/>
  <c r="I23"/>
  <c r="H23"/>
  <c r="G23"/>
  <c r="F23"/>
  <c r="E23"/>
  <c r="D23"/>
  <c r="C23"/>
  <c r="B23"/>
  <c r="W22"/>
  <c r="V22"/>
  <c r="U22"/>
  <c r="T22"/>
  <c r="S22"/>
  <c r="R22"/>
  <c r="Q22"/>
  <c r="P22"/>
  <c r="O22"/>
  <c r="N22"/>
  <c r="M22"/>
  <c r="L22"/>
  <c r="K22"/>
  <c r="J22"/>
  <c r="I22"/>
  <c r="H22"/>
  <c r="G22"/>
  <c r="F22"/>
  <c r="E22"/>
  <c r="D22"/>
  <c r="C22"/>
  <c r="B22"/>
  <c r="W21"/>
  <c r="V21"/>
  <c r="U21"/>
  <c r="T21"/>
  <c r="S21"/>
  <c r="R21"/>
  <c r="Q21"/>
  <c r="P21"/>
  <c r="O21"/>
  <c r="N21"/>
  <c r="M21"/>
  <c r="L21"/>
  <c r="K21"/>
  <c r="J21"/>
  <c r="I21"/>
  <c r="H21"/>
  <c r="G21"/>
  <c r="F21"/>
  <c r="E21"/>
  <c r="D21"/>
  <c r="C21"/>
  <c r="B21"/>
  <c r="W20"/>
  <c r="V20"/>
  <c r="U20"/>
  <c r="T20"/>
  <c r="S20"/>
  <c r="R20"/>
  <c r="Q20"/>
  <c r="P20"/>
  <c r="O20"/>
  <c r="N20"/>
  <c r="M20"/>
  <c r="L20"/>
  <c r="K20"/>
  <c r="J20"/>
  <c r="I20"/>
  <c r="H20"/>
  <c r="G20"/>
  <c r="F20"/>
  <c r="E20"/>
  <c r="D20"/>
  <c r="C20"/>
  <c r="B20"/>
  <c r="W19"/>
  <c r="V19"/>
  <c r="U19"/>
  <c r="T19"/>
  <c r="S19"/>
  <c r="R19"/>
  <c r="Q19"/>
  <c r="P19"/>
  <c r="O19"/>
  <c r="N19"/>
  <c r="M19"/>
  <c r="L19"/>
  <c r="K19"/>
  <c r="J19"/>
  <c r="I19"/>
  <c r="H19"/>
  <c r="G19"/>
  <c r="F19"/>
  <c r="E19"/>
  <c r="D19"/>
  <c r="C19"/>
  <c r="B19"/>
  <c r="W18"/>
  <c r="V18"/>
  <c r="U18"/>
  <c r="T18"/>
  <c r="S18"/>
  <c r="R18"/>
  <c r="Q18"/>
  <c r="P18"/>
  <c r="O18"/>
  <c r="N18"/>
  <c r="W17"/>
  <c r="V17"/>
  <c r="U17"/>
  <c r="T17"/>
  <c r="S17"/>
  <c r="R17"/>
  <c r="Q17"/>
  <c r="P17"/>
  <c r="O17"/>
  <c r="N17"/>
  <c r="M17"/>
  <c r="L17"/>
  <c r="K17"/>
  <c r="H17"/>
  <c r="G17"/>
  <c r="F17"/>
  <c r="E17"/>
  <c r="D17"/>
  <c r="C17"/>
  <c r="B17"/>
  <c r="W16"/>
  <c r="V16"/>
  <c r="U16"/>
  <c r="T16"/>
  <c r="S16"/>
  <c r="R16"/>
  <c r="Q16"/>
  <c r="P16"/>
  <c r="O16"/>
  <c r="N16"/>
  <c r="M16"/>
  <c r="L16"/>
  <c r="K16"/>
  <c r="J16"/>
  <c r="I16"/>
  <c r="H16"/>
  <c r="G16"/>
  <c r="F16"/>
  <c r="E16"/>
  <c r="D16"/>
  <c r="C16"/>
  <c r="B16"/>
  <c r="W15"/>
  <c r="V15"/>
  <c r="U15"/>
  <c r="T15"/>
  <c r="S15"/>
  <c r="R15"/>
  <c r="Q15"/>
  <c r="P15"/>
  <c r="O15"/>
  <c r="N15"/>
  <c r="M15"/>
  <c r="L15"/>
  <c r="K15"/>
  <c r="J15"/>
  <c r="I15"/>
  <c r="H15"/>
  <c r="G15"/>
  <c r="F15"/>
  <c r="E15"/>
  <c r="D15"/>
  <c r="C15"/>
  <c r="B15"/>
  <c r="W14"/>
  <c r="V14"/>
  <c r="U14"/>
  <c r="T14"/>
  <c r="S14"/>
  <c r="R14"/>
  <c r="Q14"/>
  <c r="P14"/>
  <c r="O14"/>
  <c r="N14"/>
  <c r="M14"/>
  <c r="L14"/>
  <c r="K14"/>
  <c r="J14"/>
  <c r="I14"/>
  <c r="H14"/>
  <c r="G14"/>
  <c r="F14"/>
  <c r="E14"/>
  <c r="D14"/>
  <c r="C14"/>
  <c r="B14"/>
  <c r="W13"/>
  <c r="V13"/>
  <c r="U13"/>
  <c r="T13"/>
  <c r="S13"/>
  <c r="R13"/>
  <c r="Q13"/>
  <c r="P13"/>
  <c r="O13"/>
  <c r="N13"/>
  <c r="M13"/>
  <c r="L13"/>
  <c r="K13"/>
  <c r="J13"/>
  <c r="I13"/>
  <c r="H13"/>
  <c r="G13"/>
  <c r="F13"/>
  <c r="E13"/>
  <c r="D13"/>
  <c r="C13"/>
  <c r="B13"/>
  <c r="W12"/>
  <c r="V12"/>
  <c r="U12"/>
  <c r="T12"/>
  <c r="S12"/>
  <c r="R12"/>
  <c r="Q12"/>
  <c r="P12"/>
  <c r="O12"/>
  <c r="N12"/>
  <c r="M12"/>
  <c r="L12"/>
  <c r="K12"/>
  <c r="J12"/>
  <c r="I12"/>
  <c r="H12"/>
  <c r="G12"/>
  <c r="F12"/>
  <c r="E12"/>
  <c r="D12"/>
  <c r="C12"/>
  <c r="W11"/>
  <c r="V11"/>
  <c r="U11"/>
  <c r="T11"/>
  <c r="S11"/>
  <c r="R11"/>
  <c r="Q11"/>
  <c r="P11"/>
  <c r="O11"/>
  <c r="N11"/>
  <c r="M11"/>
  <c r="L11"/>
  <c r="K11"/>
  <c r="J11"/>
  <c r="I11"/>
  <c r="H11"/>
  <c r="G11"/>
  <c r="F11"/>
  <c r="E11"/>
  <c r="D11"/>
  <c r="C11"/>
  <c r="B11"/>
  <c r="W10"/>
  <c r="V10"/>
  <c r="U10"/>
  <c r="T10"/>
  <c r="S10"/>
  <c r="R10"/>
  <c r="Q10"/>
  <c r="P10"/>
  <c r="O10"/>
  <c r="N10"/>
  <c r="M10"/>
  <c r="L10"/>
  <c r="W9"/>
  <c r="V9"/>
  <c r="U9"/>
  <c r="T9"/>
  <c r="S9"/>
  <c r="R9"/>
  <c r="Q9"/>
  <c r="P9"/>
  <c r="O9"/>
  <c r="N9"/>
  <c r="M9"/>
  <c r="L9"/>
  <c r="K9"/>
  <c r="J9"/>
  <c r="I9"/>
  <c r="H9"/>
  <c r="G9"/>
  <c r="F9"/>
  <c r="E9"/>
  <c r="D9"/>
  <c r="C9"/>
  <c r="B9"/>
  <c r="W8"/>
  <c r="V8"/>
  <c r="U8"/>
  <c r="T8"/>
  <c r="S8"/>
  <c r="R8"/>
  <c r="Q8"/>
  <c r="P8"/>
  <c r="O8"/>
  <c r="N8"/>
  <c r="M8"/>
  <c r="L8"/>
  <c r="K8"/>
  <c r="J8"/>
  <c r="I8"/>
  <c r="H8"/>
  <c r="G8"/>
  <c r="F8"/>
  <c r="E8"/>
  <c r="D8"/>
  <c r="C8"/>
  <c r="B8"/>
  <c r="W7"/>
  <c r="V7"/>
  <c r="U7"/>
  <c r="T7"/>
  <c r="S7"/>
  <c r="R7"/>
  <c r="Q7"/>
  <c r="P7"/>
  <c r="O7"/>
  <c r="N7"/>
  <c r="M7"/>
  <c r="L7"/>
  <c r="K7"/>
  <c r="J7"/>
  <c r="I7"/>
  <c r="H7"/>
  <c r="G7"/>
  <c r="F7"/>
  <c r="E7"/>
  <c r="D7"/>
  <c r="C7"/>
  <c r="B7"/>
  <c r="W6"/>
  <c r="V6"/>
  <c r="U6"/>
  <c r="T6"/>
  <c r="S6"/>
  <c r="R6"/>
  <c r="Q6"/>
  <c r="P6"/>
  <c r="O6"/>
  <c r="N6"/>
  <c r="M6"/>
  <c r="L6"/>
  <c r="K6"/>
  <c r="J6"/>
  <c r="I6"/>
  <c r="H6"/>
  <c r="G6"/>
  <c r="F6"/>
  <c r="E6"/>
  <c r="D6"/>
  <c r="C6"/>
  <c r="B6"/>
</calcChain>
</file>

<file path=xl/sharedStrings.xml><?xml version="1.0" encoding="utf-8"?>
<sst xmlns="http://schemas.openxmlformats.org/spreadsheetml/2006/main" count="936" uniqueCount="477">
  <si>
    <t>Sources:</t>
  </si>
  <si>
    <t>Existing (9)</t>
  </si>
  <si>
    <t>New (8)</t>
  </si>
  <si>
    <t>Owner Improvements</t>
  </si>
  <si>
    <t>Multifamily</t>
  </si>
  <si>
    <t>Single-Family</t>
  </si>
  <si>
    <t>For Rent</t>
  </si>
  <si>
    <t>For Sale</t>
  </si>
  <si>
    <t>Existing (5)</t>
  </si>
  <si>
    <t>New (4)</t>
  </si>
  <si>
    <t>Manufactured</t>
  </si>
  <si>
    <t>(Thousands)</t>
  </si>
  <si>
    <t>(Percent)</t>
  </si>
  <si>
    <t>(Median sq. ft.)</t>
  </si>
  <si>
    <t xml:space="preserve"> (Thousands)</t>
  </si>
  <si>
    <t>Year</t>
  </si>
  <si>
    <t>Home Sales</t>
  </si>
  <si>
    <t>Value Put in Place (7)</t>
  </si>
  <si>
    <t xml:space="preserve">  Vacancy Rates (6)</t>
  </si>
  <si>
    <t>Sales Price of Single-Family Homes</t>
  </si>
  <si>
    <t>Size (3)</t>
  </si>
  <si>
    <t xml:space="preserve"> Starts (2)</t>
  </si>
  <si>
    <t>Permits (1)</t>
  </si>
  <si>
    <t>Table A-1. Housing Market Indicators: 1980–2011</t>
  </si>
  <si>
    <t>Source: Federal Housing Finance Agency, Monthly Interest Rate Survey.</t>
  </si>
  <si>
    <t>na</t>
  </si>
  <si>
    <t>Rates</t>
  </si>
  <si>
    <t>More than 90%</t>
  </si>
  <si>
    <t>(Years)</t>
  </si>
  <si>
    <t>Adjustable</t>
  </si>
  <si>
    <t>Price Ratio</t>
  </si>
  <si>
    <t>(Thousands of</t>
  </si>
  <si>
    <t>Maturity</t>
  </si>
  <si>
    <t>Interest Rate</t>
  </si>
  <si>
    <t>Loan-to-</t>
  </si>
  <si>
    <t>Price</t>
  </si>
  <si>
    <t>Loan Amount</t>
  </si>
  <si>
    <t>Term to</t>
  </si>
  <si>
    <t>Effective</t>
  </si>
  <si>
    <t>Percent of Loans with:</t>
  </si>
  <si>
    <t>Purchase</t>
  </si>
  <si>
    <t>Mortgage</t>
  </si>
  <si>
    <t>Annual Averages</t>
  </si>
  <si>
    <t>Notes: White, black and Asian/other are non-Hispanic. Hispanic householders may be of any race. After 2002, Asian/other also includes householders of more than one race. Caution should be used in interpreting changes before and after 2002 because of rebenchmarking.</t>
  </si>
  <si>
    <t>West</t>
  </si>
  <si>
    <t>South</t>
  </si>
  <si>
    <t>Midwest</t>
  </si>
  <si>
    <t>Northeast</t>
  </si>
  <si>
    <t>Region</t>
  </si>
  <si>
    <t>All Minority</t>
  </si>
  <si>
    <t>Asian/Other</t>
  </si>
  <si>
    <t>Black</t>
  </si>
  <si>
    <t>Hispanic</t>
  </si>
  <si>
    <t>White</t>
  </si>
  <si>
    <t>Race/Ethnicity of Householder</t>
  </si>
  <si>
    <t>65 and Over</t>
  </si>
  <si>
    <t>Under 35</t>
  </si>
  <si>
    <t>Age of Householder</t>
  </si>
  <si>
    <t>All Households</t>
  </si>
  <si>
    <t>Percent</t>
  </si>
  <si>
    <t>Tenure</t>
  </si>
  <si>
    <t>Income Levels (2010 Dollars)</t>
  </si>
  <si>
    <t>No Burden</t>
  </si>
  <si>
    <t>Moderate Burden</t>
  </si>
  <si>
    <t>Severe Burden</t>
  </si>
  <si>
    <t>Total</t>
  </si>
  <si>
    <t>Less than $15,000</t>
  </si>
  <si>
    <t>$15,000 to $29,999</t>
  </si>
  <si>
    <t>$30,000 to $44,999</t>
  </si>
  <si>
    <t>$45,000 to $74,999</t>
  </si>
  <si>
    <t>$75,000 +</t>
  </si>
  <si>
    <t>Owners</t>
  </si>
  <si>
    <t>Renters</t>
  </si>
  <si>
    <t>Owners With Mortgages</t>
  </si>
  <si>
    <t>Owners Without Mortgages</t>
  </si>
  <si>
    <t>Under 25</t>
  </si>
  <si>
    <t>25-44</t>
  </si>
  <si>
    <t>45-64</t>
  </si>
  <si>
    <t>Household Type</t>
  </si>
  <si>
    <t>Single Parent</t>
  </si>
  <si>
    <t>Other Family</t>
  </si>
  <si>
    <t>Single Person</t>
  </si>
  <si>
    <t>Other</t>
  </si>
  <si>
    <t>All</t>
  </si>
  <si>
    <t>Married without Children</t>
  </si>
  <si>
    <t>Married with Children</t>
  </si>
  <si>
    <t>Non-Family</t>
  </si>
  <si>
    <t>Expenditure Quartiles and Share of Expenditures on Housing</t>
  </si>
  <si>
    <t>Transportation</t>
  </si>
  <si>
    <t>Food</t>
  </si>
  <si>
    <t>Clothes</t>
  </si>
  <si>
    <t>Healthcare</t>
  </si>
  <si>
    <t>Personal Insurance and Pensions</t>
  </si>
  <si>
    <t>Entertainment</t>
  </si>
  <si>
    <t>Quartile 1 (Lowest)</t>
  </si>
  <si>
    <t>Less than 30%</t>
  </si>
  <si>
    <t>30-50%</t>
  </si>
  <si>
    <t>50% and Over</t>
  </si>
  <si>
    <t>Quartile 2</t>
  </si>
  <si>
    <t>Quartile 3</t>
  </si>
  <si>
    <t>Quartile 4 (Highest)</t>
  </si>
  <si>
    <t>Weeks Worked in Last 12 months</t>
  </si>
  <si>
    <t>Share Severely Cost Burdened</t>
  </si>
  <si>
    <t>Housing Expenditures</t>
  </si>
  <si>
    <t>Notes: Prices are median sale prices, averaged from non-seasonally adjusted quarterly data.  Incomes are median household incomes.</t>
  </si>
  <si>
    <t>Geography:</t>
  </si>
  <si>
    <t>United States</t>
  </si>
  <si>
    <t>Akron, OH Metropolitan Statistical Area</t>
  </si>
  <si>
    <t>Albany-Schenectady-Troy, NY Metropolitan Statistical Area</t>
  </si>
  <si>
    <t>Albuquerque, NM Metropolitan Statistical Area</t>
  </si>
  <si>
    <t>Allentown-Bethlehem-Easton, PA-NJ Metropolitan Statistical Area</t>
  </si>
  <si>
    <t>Atlanta-Sandy Springs-Marietta, GA Metropolitan Statistical Area</t>
  </si>
  <si>
    <t>Austin-Round Rock-San Marcos, TX Metropolitan Statistical Area</t>
  </si>
  <si>
    <t>Baltimore-Towson, MD Metropolitan Statistical Area</t>
  </si>
  <si>
    <t>Baton Rouge, LA Metropolitan Statistical Area</t>
  </si>
  <si>
    <t>Birmingham-Hoover, AL Metropolitan Statistical Area</t>
  </si>
  <si>
    <t>Boise City-Nampa, ID Metropolitan Statistical Area</t>
  </si>
  <si>
    <t>Boston-Cambridge-Quincy, MA-NH Metropolitan Statistical Area</t>
  </si>
  <si>
    <t>Bridgeport-Stamford-Norwalk, CT Metropolitan Statistical Area</t>
  </si>
  <si>
    <t>Buffalo-Niagara Falls, NY Metropolitan Statistical Area</t>
  </si>
  <si>
    <t>Cape Coral-Fort Myers, FL Metropolitan Statistical Area</t>
  </si>
  <si>
    <t>Charleston-North Charleston-Summerville, SC Metropolitan Statistical Area</t>
  </si>
  <si>
    <t>Charlotte-Gastonia-Rock Hill, NC-SC Metropolitan Statistical Area</t>
  </si>
  <si>
    <t>Chattanooga, TN-GA Metropolitan Statistical Area</t>
  </si>
  <si>
    <t>Chicago-Joliet-Naperville, IL-IN-WI Metropolitan Statistical Area</t>
  </si>
  <si>
    <t>Cincinnati-Middletown, OH-KY-IN Metropolitan Statistical Area</t>
  </si>
  <si>
    <t>Cleveland-Elyria-Mentor, OH Metropolitan Statistical Area</t>
  </si>
  <si>
    <t>Colorado Springs, CO Metropolitan Statistical Area</t>
  </si>
  <si>
    <t>Columbia, SC Metropolitan Statistical Area</t>
  </si>
  <si>
    <t>Columbus, OH Metropolitan Statistical Area</t>
  </si>
  <si>
    <t>Dallas-Fort Worth-Arlington, TX Metropolitan Statistical Area</t>
  </si>
  <si>
    <t>Dayton, OH Metropolitan Statistical Area</t>
  </si>
  <si>
    <t>Denver-Aurora-Broomfield, CO Metropolitan Statistical Area</t>
  </si>
  <si>
    <t>Des Moines-West Des Moines, IA Metropolitan Statistical Area</t>
  </si>
  <si>
    <t>Detroit-Warren-Livonia, MI Metropolitan Statistical Area</t>
  </si>
  <si>
    <t>El Paso, TX Metropolitan Statistical Area</t>
  </si>
  <si>
    <t>Grand Rapids-Wyoming, MI Metropolitan Statistical Area</t>
  </si>
  <si>
    <t>Greensboro-High Point, NC Metropolitan Statistical Area</t>
  </si>
  <si>
    <t>Greenville-Mauldin-Easley, SC Metropolitan Statistical Area</t>
  </si>
  <si>
    <t>Hartford-West Hartford-East Hartford, CT Metropolitan Statistical Area</t>
  </si>
  <si>
    <t>Honolulu, HI Metropolitan Statistical Area</t>
  </si>
  <si>
    <t>Houston-Sugar Land-Baytown, TX Metropolitan Statistical Area</t>
  </si>
  <si>
    <t>Indianapolis-Carmel, IN Metropolitan Statistical Area</t>
  </si>
  <si>
    <t>Jackson, MS Metropolitan Statistical Area</t>
  </si>
  <si>
    <t>Jacksonville, FL Metropolitan Statistical Area</t>
  </si>
  <si>
    <t>Kansas City, MO-KS Metropolitan Statistical Area</t>
  </si>
  <si>
    <t>Knoxville, TN Metropolitan Statistical Area</t>
  </si>
  <si>
    <t>Las Vegas-Paradise, NV Metropolitan Statistical Area</t>
  </si>
  <si>
    <t>Little Rock-North Little Rock-Conway, AR Metropolitan Statistical Area</t>
  </si>
  <si>
    <t>Los Angeles-Long Beach-Santa Ana, CA Metropolitan Statistical Area</t>
  </si>
  <si>
    <t>Louisville-Jefferson County, KY-IN Metropolitan Statistical Area</t>
  </si>
  <si>
    <t>Madison, WI Metropolitan Statistical Area</t>
  </si>
  <si>
    <t>Memphis, TN-MS-AR Metropolitan Statistical Area</t>
  </si>
  <si>
    <t>Miami-Fort Lauderdale-Pompano Beach, FL Metropolitan Statistical Area</t>
  </si>
  <si>
    <t>Milwaukee-Waukesha-West Allis, WI Metropolitan Statistical Area</t>
  </si>
  <si>
    <t>Minneapolis-St. Paul-Bloomington, MN-WI Metropolitan Statistical Area</t>
  </si>
  <si>
    <t>Nashville-Davidson--Murfreesboro--Franklin, TN Metropolitan Statistical Area</t>
  </si>
  <si>
    <t>New Haven-Milford, CT Metropolitan Statistical Area</t>
  </si>
  <si>
    <t>New Orleans-Metairie-Kenner, LA Metropolitan Statistical Area</t>
  </si>
  <si>
    <t>New York-Northern New Jersey-Long Island, NY-NJ-PA Metropolitan Statistical Area</t>
  </si>
  <si>
    <t>North Port-Bradenton-Sarasota, FL Metropolitan Statistical Area</t>
  </si>
  <si>
    <t>Oklahoma City, OK Metropolitan Statistical Area</t>
  </si>
  <si>
    <t>Omaha-Council Bluffs, NE-IA Metropolitan Statistical Area</t>
  </si>
  <si>
    <t>Orlando-Kissimmee-Sanford, FL Metropolitan Statistical Area</t>
  </si>
  <si>
    <t>Palm Bay-Melbourne-Titusville, FL Metropolitan Statistical Area</t>
  </si>
  <si>
    <t>Philadelphia-Camden-Wilmington, PA-NJ-DE-MD Metropolitan Statistical Area</t>
  </si>
  <si>
    <t>Phoenix-Mesa-Glendale, AZ Metropolitan Statistical Area</t>
  </si>
  <si>
    <t>Pittsburgh, PA Metropolitan Statistical Area</t>
  </si>
  <si>
    <t>Portland-Vancouver-Hillsboro, OR-WA Metropolitan Statistical Area</t>
  </si>
  <si>
    <t>Providence-New Bedford-Fall River, RI-MA Metropolitan Statistical Area</t>
  </si>
  <si>
    <t>Raleigh-Cary, NC Metropolitan Statistical Area</t>
  </si>
  <si>
    <t>Richmond, VA Metropolitan Statistical Area</t>
  </si>
  <si>
    <t>Riverside-San Bernardino-Ontario, CA Metropolitan Statistical Area</t>
  </si>
  <si>
    <t>Rochester, NY Metropolitan Statistical Area</t>
  </si>
  <si>
    <t>Sacramento--Arden-Arcade--Roseville, CA Metropolitan Statistical Area</t>
  </si>
  <si>
    <t>Salt Lake City, UT Metropolitan Statistical Area</t>
  </si>
  <si>
    <t>San Antonio-New Braunfels, TX Metropolitan Statistical Area</t>
  </si>
  <si>
    <t>San Diego-Carlsbad-San Marcos, CA Metropolitan Statistical Area</t>
  </si>
  <si>
    <t>San Francisco-Oakland-Fremont, CA Metropolitan Statistical Area</t>
  </si>
  <si>
    <t>San Jose-Sunnyvale-Santa Clara, CA Metropolitan Statistical Area</t>
  </si>
  <si>
    <t>Seattle-Tacoma-Bellevue, WA Metropolitan Statistical Area</t>
  </si>
  <si>
    <t>Springfield, MA Metropolitan Statistical Area</t>
  </si>
  <si>
    <t>St. Louis, MO-IL Metropolitan Statistical Area</t>
  </si>
  <si>
    <t>Syracuse, NY Metropolitan Statistical Area</t>
  </si>
  <si>
    <t>Tampa-St. Petersburg-Clearwater, FL Metropolitan Statistical Area</t>
  </si>
  <si>
    <t>Toledo, OH Metropolitan Statistical Area</t>
  </si>
  <si>
    <t>Tucson, AZ Metropolitan Statistical Area</t>
  </si>
  <si>
    <t>Tulsa, OK Metropolitan Statistical Area</t>
  </si>
  <si>
    <t>Virginia Beach-Norfolk-Newport News, VA-NC Metropolitan Statistical Area</t>
  </si>
  <si>
    <t>Washington-Arlington-Alexandria, DC-VA-MD-WV Metropolitan Statistical Area</t>
  </si>
  <si>
    <t>Wichita, KS Metropolitan Statistical Area</t>
  </si>
  <si>
    <t>Worcester, MA Metropolitan Statistical Area</t>
  </si>
  <si>
    <t>Youngstown-Warren-Boardman, OH-PA Metropolitan Statistical Area</t>
  </si>
  <si>
    <t>Percent Change</t>
  </si>
  <si>
    <t>Share of Growth</t>
  </si>
  <si>
    <t>Metropolitan Area</t>
  </si>
  <si>
    <t xml:space="preserve">Core </t>
  </si>
  <si>
    <t>Suburb</t>
  </si>
  <si>
    <t>Exurb</t>
  </si>
  <si>
    <t>2000 Total</t>
  </si>
  <si>
    <t>2010 Total</t>
  </si>
  <si>
    <t>Core</t>
  </si>
  <si>
    <t xml:space="preserve">Akron, OH </t>
  </si>
  <si>
    <t xml:space="preserve">Albany-Schenectady-Troy, NY </t>
  </si>
  <si>
    <t xml:space="preserve">Albuquerque, NM </t>
  </si>
  <si>
    <t xml:space="preserve">Allentown-Bethlehem-Easton, PA-NJ </t>
  </si>
  <si>
    <t xml:space="preserve">Atlanta-Sandy Springs-Marietta, GA </t>
  </si>
  <si>
    <t xml:space="preserve">Augusta-Richmond County, GA-SC </t>
  </si>
  <si>
    <t xml:space="preserve">Austin-Round Rock, TX </t>
  </si>
  <si>
    <t xml:space="preserve">Bakersfield, CA </t>
  </si>
  <si>
    <t xml:space="preserve">Baltimore-Towson, MD </t>
  </si>
  <si>
    <t xml:space="preserve">Baton Rouge, LA </t>
  </si>
  <si>
    <t xml:space="preserve">Birmingham-Hoover, AL </t>
  </si>
  <si>
    <t xml:space="preserve">Boise City-Nampa, ID </t>
  </si>
  <si>
    <t xml:space="preserve">Boston-Cambridge-Quincy, MA-NH </t>
  </si>
  <si>
    <t xml:space="preserve">Bridgeport-Stamford-Norwalk, CT </t>
  </si>
  <si>
    <t>Buffalo-Niagara Falls, NY</t>
  </si>
  <si>
    <t xml:space="preserve">Cape Coral-Fort Myers, FL </t>
  </si>
  <si>
    <t xml:space="preserve">Charleston-North Charleston-Summerville, SC </t>
  </si>
  <si>
    <t xml:space="preserve">Charlotte-Gastonia-Concord, NC-SC </t>
  </si>
  <si>
    <t xml:space="preserve">Chattanooga, TN-GA </t>
  </si>
  <si>
    <t xml:space="preserve">Chicago-Naperville-Joliet, IL-IN-WI </t>
  </si>
  <si>
    <t xml:space="preserve">Cincinnati-Middletown, OH-KY-IN </t>
  </si>
  <si>
    <t xml:space="preserve">Cleveland-Elyria-Mentor, OH </t>
  </si>
  <si>
    <t xml:space="preserve">Colorado Springs, CO </t>
  </si>
  <si>
    <t xml:space="preserve">Columbia, SC </t>
  </si>
  <si>
    <t xml:space="preserve">Columbus, OH </t>
  </si>
  <si>
    <t xml:space="preserve">Dallas-Fort Worth-Arlington, TX </t>
  </si>
  <si>
    <t xml:space="preserve">Dayton, OH </t>
  </si>
  <si>
    <t xml:space="preserve">Denver-Aurora-Broomfield, CO </t>
  </si>
  <si>
    <t xml:space="preserve">Des Moines-West Des Moines, IA </t>
  </si>
  <si>
    <t xml:space="preserve">Detroit-Warren-Livonia, MI </t>
  </si>
  <si>
    <t xml:space="preserve">El Paso, TX </t>
  </si>
  <si>
    <t xml:space="preserve">Fresno, CA </t>
  </si>
  <si>
    <t xml:space="preserve">Grand Rapids-Wyoming, MI </t>
  </si>
  <si>
    <t xml:space="preserve">Greensboro-High Point, NC </t>
  </si>
  <si>
    <t xml:space="preserve">Greenville-Mauldin-Easley, SC </t>
  </si>
  <si>
    <t xml:space="preserve">Harrisburg-Carlisle, PA </t>
  </si>
  <si>
    <t xml:space="preserve">Hartford-West Hartford-East Hartford, CT </t>
  </si>
  <si>
    <t xml:space="preserve">Honolulu, HI </t>
  </si>
  <si>
    <t xml:space="preserve">Houston-Sugar Land-Baytown, TX </t>
  </si>
  <si>
    <t xml:space="preserve">Indianapolis-Carmel, IN </t>
  </si>
  <si>
    <t xml:space="preserve">Jackson, MS </t>
  </si>
  <si>
    <t xml:space="preserve">Jacksonville, FL </t>
  </si>
  <si>
    <t xml:space="preserve">Kansas City, MO-KS </t>
  </si>
  <si>
    <t xml:space="preserve">Knoxville, TN </t>
  </si>
  <si>
    <t xml:space="preserve">Lakeland-Winter Haven, FL </t>
  </si>
  <si>
    <t xml:space="preserve">Lancaster, PA </t>
  </si>
  <si>
    <t xml:space="preserve">Las Vegas-Paradise, NV </t>
  </si>
  <si>
    <t xml:space="preserve">Little Rock-North Little Rock-Conway, AR </t>
  </si>
  <si>
    <t xml:space="preserve">Los Angeles-Long Beach-Santa Ana, CA </t>
  </si>
  <si>
    <t xml:space="preserve">Louisville-Jefferson County, KY-IN </t>
  </si>
  <si>
    <t xml:space="preserve">Madison, WI </t>
  </si>
  <si>
    <t xml:space="preserve">McAllen-Edinburg-Mission, TX </t>
  </si>
  <si>
    <t xml:space="preserve">Memphis, TN-MS-AR </t>
  </si>
  <si>
    <t xml:space="preserve">Miami-Fort Lauderdale-Pompano Beach, FL </t>
  </si>
  <si>
    <t xml:space="preserve">Milwaukee-Waukesha-West Allis, WI </t>
  </si>
  <si>
    <t xml:space="preserve">Minneapolis-St. Paul-Bloomington, MN-WI </t>
  </si>
  <si>
    <t xml:space="preserve">Modesto, CA </t>
  </si>
  <si>
    <t xml:space="preserve">Nashville-Davidson--Murfreesboro--Franklin, TN </t>
  </si>
  <si>
    <t xml:space="preserve">New Haven-Milford, CT </t>
  </si>
  <si>
    <t xml:space="preserve">New Orleans-Metairie-Kenner, LA </t>
  </si>
  <si>
    <t xml:space="preserve">New York-Northern New Jersey-Long Island, NY-NJ-PA </t>
  </si>
  <si>
    <t xml:space="preserve">North-Port-Bradenton-Sarasota, FL </t>
  </si>
  <si>
    <t xml:space="preserve">Ogden-Clearfield, UT </t>
  </si>
  <si>
    <t xml:space="preserve">Oklahoma City, OK </t>
  </si>
  <si>
    <t xml:space="preserve">Omaha-Council Bluffs, NE-IA </t>
  </si>
  <si>
    <t xml:space="preserve">Orlando-Kissimmee, FL </t>
  </si>
  <si>
    <t xml:space="preserve">Oxnard-Thousand Oaks-Ventura, CA </t>
  </si>
  <si>
    <t xml:space="preserve">Palm Bay-Melbourne-Titusville, FL </t>
  </si>
  <si>
    <t xml:space="preserve">Philadelphia-Camden-Wilmington, PA-NJ-DE-MD </t>
  </si>
  <si>
    <t xml:space="preserve">Phoenix-Mesa-Scottsdale, AZ </t>
  </si>
  <si>
    <t xml:space="preserve">Pittsburgh, PA </t>
  </si>
  <si>
    <t xml:space="preserve">Portland-Vancouver-Beaverton, OR-WA </t>
  </si>
  <si>
    <t xml:space="preserve">Poughkeepsie-Newburgh-Middletown, NY </t>
  </si>
  <si>
    <t xml:space="preserve">Providence-New Bedford-Fall River, RI-MA </t>
  </si>
  <si>
    <t xml:space="preserve">Provo-Orem, UT </t>
  </si>
  <si>
    <t xml:space="preserve">Raleigh-Cary, NC </t>
  </si>
  <si>
    <t xml:space="preserve">Richmond, VA </t>
  </si>
  <si>
    <t xml:space="preserve">Riverside-San Bernardino-Ontario, CA </t>
  </si>
  <si>
    <t xml:space="preserve">Rochester, NY </t>
  </si>
  <si>
    <t xml:space="preserve">Sacramento--Arden-Arcade--Roseville, CA </t>
  </si>
  <si>
    <t xml:space="preserve">Salt Lake City, UT </t>
  </si>
  <si>
    <t xml:space="preserve">San Antonio, TX </t>
  </si>
  <si>
    <t xml:space="preserve">San Diego-Carlsbad-San Marcos, CA </t>
  </si>
  <si>
    <t xml:space="preserve">San Francisco-Oakland-Fremont, CA </t>
  </si>
  <si>
    <t xml:space="preserve">San Jose-Sunnyvale-Santa Clara, CA </t>
  </si>
  <si>
    <t xml:space="preserve">Scranton--Wilkes-Barre, PA </t>
  </si>
  <si>
    <t xml:space="preserve">Seattle-Tacoma-Bellevue, WA </t>
  </si>
  <si>
    <t xml:space="preserve">Springfield, MA </t>
  </si>
  <si>
    <t xml:space="preserve">St. Louis, MO-IL </t>
  </si>
  <si>
    <t xml:space="preserve">Stockton, CA </t>
  </si>
  <si>
    <t xml:space="preserve">Syracuse, NY </t>
  </si>
  <si>
    <t xml:space="preserve">Tampa-St. Petersburg-Clearwater, FL </t>
  </si>
  <si>
    <t xml:space="preserve">Toledo, OH </t>
  </si>
  <si>
    <t xml:space="preserve">Tucson, AZ </t>
  </si>
  <si>
    <t xml:space="preserve">Tulsa, OK </t>
  </si>
  <si>
    <t xml:space="preserve">Virginia Beach-Norfolk-Newport News, VA-NC </t>
  </si>
  <si>
    <t xml:space="preserve">Washington-Arlington-Alexandria, DC-VA-MD-WV </t>
  </si>
  <si>
    <t xml:space="preserve">Wichita, KS </t>
  </si>
  <si>
    <t xml:space="preserve">Worcester, MA </t>
  </si>
  <si>
    <t xml:space="preserve">Youngstown-Warren-Boardman, OH-PA </t>
  </si>
  <si>
    <t xml:space="preserve">TOTAL </t>
  </si>
  <si>
    <t>Sources: National Association of Realtors®, Existing Single Family Median Home Price, retrieved using Moody's Analytics DataBuffet.</t>
  </si>
  <si>
    <t>Sources: JCHS payment calculations from National Association of Realtors®, Existing Single Family Median Home Price and Freddie Mac PMMS interest rates; Moody's Analytics estimates of US Census Bureau Median Household Income.</t>
  </si>
  <si>
    <t>2011 dollars)</t>
  </si>
  <si>
    <t>Mortgage Originations (Thousands)</t>
  </si>
  <si>
    <t>All Mortgages</t>
  </si>
  <si>
    <t>2009-10</t>
  </si>
  <si>
    <t>2004-10</t>
  </si>
  <si>
    <t>Mortgage Type</t>
  </si>
  <si>
    <t>Home Purchase</t>
  </si>
  <si>
    <t>Refinance</t>
  </si>
  <si>
    <t>Borrower Income</t>
  </si>
  <si>
    <t>Low-Income</t>
  </si>
  <si>
    <t>Middle-Income</t>
  </si>
  <si>
    <t>High-Income</t>
  </si>
  <si>
    <t>Not Reported</t>
  </si>
  <si>
    <t>Borrower Race</t>
  </si>
  <si>
    <t>Unknown</t>
  </si>
  <si>
    <t>Grand Total</t>
  </si>
  <si>
    <t>Notes: Low-/moderate-/high-income borrowers have median family income less than 80%/80-120%/more than 120% of area median.</t>
  </si>
  <si>
    <t>Source: JCHS enhanced Home Mortgage Disclosure Act database.</t>
  </si>
  <si>
    <t>Neighborhood Income</t>
  </si>
  <si>
    <t>Neighborhood Race</t>
  </si>
  <si>
    <t>Minority</t>
  </si>
  <si>
    <t>Mixed</t>
  </si>
  <si>
    <t>Neighborhood Distress</t>
  </si>
  <si>
    <t>Low Need</t>
  </si>
  <si>
    <t>Moderate Need</t>
  </si>
  <si>
    <t>Intense Need</t>
  </si>
  <si>
    <t>Notes: Low-/moderate-/high-income neighborhoods are census tracts with a median family income less than 80%/80-120%/more than 120% of area median. Minority/mixed/white neighborhoods are census tracts with a minority share of more than 50%/10-50%/less than 10%.  Neighborhood distress is based on NSP3 need scores given to census block groups under HUD’s Neighborhood Stabilization Program.  Intense/moderate/low distress refers to neighborhoods in the top/second/bottom-three quintiles of NSP3 scores.</t>
  </si>
  <si>
    <t>Table W-4: Mortgage Originations by Neighborhood Characteristics, 2004-10</t>
  </si>
  <si>
    <t>Table W-5: Mortgage Originations by Borrower Characteristics, 2004-10</t>
  </si>
  <si>
    <t>Before 1950</t>
  </si>
  <si>
    <t>1950-1959</t>
  </si>
  <si>
    <t>1960-1969</t>
  </si>
  <si>
    <t>1970-1979</t>
  </si>
  <si>
    <t>1980-1989</t>
  </si>
  <si>
    <t>1990-1999</t>
  </si>
  <si>
    <t>2000-2005</t>
  </si>
  <si>
    <t>Source:  U.S. Energy Information Administration, 2005 Residential Energy Consumption Survey</t>
  </si>
  <si>
    <t>Married Without Children</t>
  </si>
  <si>
    <t>Married With Children</t>
  </si>
  <si>
    <t>Other Non-Family</t>
  </si>
  <si>
    <t>Education of Householder</t>
  </si>
  <si>
    <t>No High School Diploma</t>
  </si>
  <si>
    <t>High School Graduate</t>
  </si>
  <si>
    <t>Some College</t>
  </si>
  <si>
    <t>Bachelor's Degree or More</t>
  </si>
  <si>
    <t>Cost Burden</t>
  </si>
  <si>
    <t>Income</t>
  </si>
  <si>
    <t>Under $15,000</t>
  </si>
  <si>
    <t>Average Energy Cost per Household (Dollars)</t>
  </si>
  <si>
    <t>Average Unit Size (Sq. Ft.)</t>
  </si>
  <si>
    <t>US Total</t>
  </si>
  <si>
    <t>Energy Consumption per Square Foot (Thousand BTU)</t>
  </si>
  <si>
    <t>Average Energy Cost per 1,000 Square Feet (Dollars)</t>
  </si>
  <si>
    <t>Note:  Energy consumption and cost excludes wood.  Square footage excludes unheated garages.</t>
  </si>
  <si>
    <t>(2011 dollars)</t>
  </si>
  <si>
    <t>(Millions of 2011 dollars)</t>
  </si>
  <si>
    <t>Notes:  All value series are adjusted to 2011 dollars by the CPI-U for All Items. All links are as of April 2012. na indicates data not available.</t>
  </si>
  <si>
    <t>1. US Census Bureau, New Privately Owned Housing Units Authorized by Building Permits, http://www.census.gov/construction/pdf/bpann.pdf.</t>
  </si>
  <si>
    <t>2. US Census Bureau, New Privately Owned Housing Units Started, http://www.census.gov/construction/nrc/pdf/startsan.pdf; Placements of New Manufactured Homes, www.census.gov/pub/const/mhs/mhstabplcmnt.pdf. Manufactured housing starts are defined as placements of new manufactured homes.</t>
  </si>
  <si>
    <t>3. US Census Bureau, Quarterly Starts and Completions by Purpose and Design, http://www.census.gov/construction/nrc/pdf/quarterly_starts_completions.pdf and JCHS historical tables.</t>
  </si>
  <si>
    <t>4. New home price is the median price from US Census Bureau, Median and Average Sales Price of New One-Family Houses Sold, http://www.census.gov/construction/nrs/xls/usprice_cust.xls</t>
  </si>
  <si>
    <t>5. Existing home price is the median sales price of existing single-family homes determined by the National Association of Realtors®.</t>
  </si>
  <si>
    <t>6. US Census Bureau, Housing Vacancy Survey, http://www.census.gov/hhes/www/housing/hvs/annual11/ann11ind.html.</t>
  </si>
  <si>
    <t>7. US Census Bureau, Annual Value of Private Construction Put in Place,http://www.census.gov/construction/c30/privpage.html; data 1980-1993 retrieved from past JCHS reports. Single-family and multifamily are new construction. Owner improvements do not include expenditures on rental, seasonal, and vacant properties.</t>
  </si>
  <si>
    <t>8. US Census Bureau, Houses Sold by Region, http://www.census.gov/construction/nrs/pdf/soldann.pdf.</t>
  </si>
  <si>
    <t>9. National Association of Realtors®, Existing Single-Family Home Sales.</t>
  </si>
  <si>
    <t>Dollars</t>
  </si>
  <si>
    <t>Notes: Quartiles are equal fourths of households ranked by total expenditures. Housing expenditures include mortgage principal and interest, insurance, taxes, maintenance, rents, and utilities.</t>
  </si>
  <si>
    <t xml:space="preserve">Source: JCHS tabulations of the US Bureau of Labor Statistics, 2010 Consumer Expenditure Survey. </t>
  </si>
  <si>
    <t>Fully Employed</t>
  </si>
  <si>
    <t>Short term Unemployed</t>
  </si>
  <si>
    <t>Long term Unemployed</t>
  </si>
  <si>
    <t>Source: JCHS tabulations of the US Census Bureau, 2010 American Community Survey.</t>
  </si>
  <si>
    <t xml:space="preserve">Notes: The effective interest rate includes the amortization of initial fees and charges. Loans with adjustable rates do not include hybrid products. na indicates data not available. Dollar amounts are adjusted by the CPI-U for All Items.  </t>
  </si>
  <si>
    <t xml:space="preserve">     White</t>
  </si>
  <si>
    <t>na</t>
    <phoneticPr fontId="38" type="noConversion"/>
  </si>
  <si>
    <t xml:space="preserve"> na</t>
  </si>
  <si>
    <t>na</t>
    <phoneticPr fontId="38" type="noConversion"/>
  </si>
  <si>
    <t>35–44</t>
    <phoneticPr fontId="38" type="noConversion"/>
  </si>
  <si>
    <t>45–54</t>
    <phoneticPr fontId="38" type="noConversion"/>
  </si>
  <si>
    <t>55–64</t>
    <phoneticPr fontId="38" type="noConversion"/>
  </si>
  <si>
    <t>Thousands of 2010 dollars</t>
    <phoneticPr fontId="38" type="noConversion"/>
  </si>
  <si>
    <t>$15,000–29,999</t>
    <phoneticPr fontId="38" type="noConversion"/>
  </si>
  <si>
    <t>$30,000–44,999</t>
    <phoneticPr fontId="38" type="noConversion"/>
  </si>
  <si>
    <t>$45,000–74,999</t>
    <phoneticPr fontId="38" type="noConversion"/>
  </si>
  <si>
    <t>$75,000 and Over</t>
    <phoneticPr fontId="38" type="noConversion"/>
  </si>
  <si>
    <t>35–44</t>
    <phoneticPr fontId="38" type="noConversion"/>
  </si>
  <si>
    <t>45–54</t>
    <phoneticPr fontId="38" type="noConversion"/>
  </si>
  <si>
    <t>55–64</t>
    <phoneticPr fontId="38" type="noConversion"/>
  </si>
  <si>
    <t>65 and Over</t>
    <phoneticPr fontId="38" type="noConversion"/>
  </si>
  <si>
    <t>Bachelor's Degree or Higher</t>
    <phoneticPr fontId="38" type="noConversion"/>
  </si>
  <si>
    <t>$15,000–29,999</t>
    <phoneticPr fontId="38" type="noConversion"/>
  </si>
  <si>
    <t>$30,000–44,999</t>
    <phoneticPr fontId="38" type="noConversion"/>
  </si>
  <si>
    <t>$45,000–74,999</t>
    <phoneticPr fontId="38" type="noConversion"/>
  </si>
  <si>
    <t>$75,000 and Over</t>
    <phoneticPr fontId="38" type="noConversion"/>
  </si>
  <si>
    <t>Notes: Children are the householder's own children under the age of 18. Subcategory shares may not add up to the total due to rounding.</t>
    <phoneticPr fontId="38" type="noConversion"/>
  </si>
  <si>
    <t>Source: US Census Bureau, Housing Vacancy Surveys.</t>
  </si>
  <si>
    <t>Source: JCHS tabulations of US Census Bureau, American Community Surveys.</t>
  </si>
  <si>
    <t xml:space="preserve">Total </t>
  </si>
  <si>
    <t>Non-Housing Expenditures</t>
  </si>
  <si>
    <t xml:space="preserve">     Fully Unemployed</t>
  </si>
  <si>
    <t>Notes: Severe cost burdens are defined as housing costs of more than 50% of household income. Children are the householder's own children under the age of 18.  Fully-employed workers worked at least 48 weeks, short-term unemployed worked 27 to 47 weeks, long-term unemployed worked 1 to 26 weeks, and fully unemployed did not work in the last 12 months
but were in the labor force.</t>
  </si>
  <si>
    <t>severely burdened, while renters paying no cash rent are assumed to be unburdened. The 2010 data are reweighted to the 2010 Census.</t>
  </si>
  <si>
    <t>Source: JCHS tabulations of US Census Bureau, 2010 American Community Survey.</t>
  </si>
  <si>
    <t xml:space="preserve">Notes: Moderate (severe) burdens are defined as housing costs of 30-50% (more than 50%) of household income. Households with zero or negative income are assumed to be </t>
  </si>
  <si>
    <t>Table W-7: Metro Area Home Price Changes by Price Tier: 2000-2011</t>
  </si>
  <si>
    <t>January 2000 To Peak</t>
  </si>
  <si>
    <t>Peak to December 2011</t>
  </si>
  <si>
    <t>January 2000 to December 2011</t>
  </si>
  <si>
    <t>Low Tier</t>
  </si>
  <si>
    <t>Middle Tier</t>
  </si>
  <si>
    <t>High Tier</t>
  </si>
  <si>
    <t>Atlanta-Sandy Springs-Marietta, GA MSA</t>
  </si>
  <si>
    <t>Boston-Cambridge-Quincy, MA-NH MSA</t>
  </si>
  <si>
    <t>Chicago-Joliet-Naperville, IL-IN-WI MSA</t>
  </si>
  <si>
    <t>Cleveland-Elyria-Mentor, OH MSA</t>
  </si>
  <si>
    <t>Denver-Aurora-Broomfield, CO MSA</t>
  </si>
  <si>
    <t>Las Vegas-Paradise, NV MSA</t>
  </si>
  <si>
    <t>Los Angeles-Long Beach-Santa Ana, CA MSA</t>
  </si>
  <si>
    <t>Miami-Fort Lauderdale-Pompano Beach, FL MSA</t>
  </si>
  <si>
    <t>Minneapolis-St. Paul-Bloomington, MN-WI MSA</t>
  </si>
  <si>
    <t>New York-Northern New Jersey-Long Island, NY-NJ-PA MSA</t>
  </si>
  <si>
    <t>Phoenix-Mesa-Glendale, AZ MSA</t>
  </si>
  <si>
    <t>Portland-Vancouver-Hillsboro, OR-WA MSA</t>
  </si>
  <si>
    <t>San Diego-Carlsbad-San Marcos, CA MSA</t>
  </si>
  <si>
    <t>San Francisco-Oakland-Fremont, CA MSA</t>
  </si>
  <si>
    <t>Seattle-Tacoma-Bellevue, WA MSA</t>
  </si>
  <si>
    <t>Tampa-St. Petersburg-Clearwater, FL MSA</t>
  </si>
  <si>
    <t>Washington-Arlington-Alexandria, DC-VA-MD-WV MSA</t>
  </si>
  <si>
    <t>Minimum</t>
  </si>
  <si>
    <t>Maximum</t>
  </si>
  <si>
    <t>Average</t>
  </si>
  <si>
    <t>Median</t>
  </si>
  <si>
    <t>Notes: House price data are for existing single-family homes and cover the period from January 2000 to December 2011.  Homes are divided into equal thirds and allocated into low-, middle-, and high-price tiers based on original sales price.</t>
  </si>
  <si>
    <t>Source: JCHS tabulations of S&amp;P/Case-Shiller Tiered HPI data.</t>
  </si>
  <si>
    <t>Payment-to-Rent Ratio</t>
  </si>
  <si>
    <t>Notes: NAR affordability index was averaged across 12 months to obtain annual estimates. Prices and mortgage payments are based on the median existing single-family home price, averaged from quarterly data to obtain annual prices. Mortgage payments are calculated using the interest-rate average for that year, a 20% downpayment, and a fixed 30-year term. Rent is the median gross monthly rent from the 2010 American Community Survey, indexed using the CPI for rent of primary residence.</t>
  </si>
  <si>
    <t xml:space="preserve">Payment-to- Income Ratio </t>
  </si>
  <si>
    <t xml:space="preserve">Price-to-Income Ratio </t>
  </si>
  <si>
    <t>Affordability Index</t>
  </si>
  <si>
    <t>Monthly Mortgage Payment
(2011 dollars)</t>
  </si>
  <si>
    <t>Price-to-Rent Ratio</t>
  </si>
  <si>
    <t>Sources: JCHS tabulations of National Association of Realtors®, Composite Affordability Index (NSA) and Existing Single-Family Home Sales via Moody's Analytics; Freddie Mac, Primary Mortgage Market Survey; and US Census Bureau, American Community Survey.</t>
  </si>
  <si>
    <t xml:space="preserve">Table W-1: Household Growth in the Top 100 Metropolitan Areas, 2000-10 </t>
  </si>
  <si>
    <t>Source: JCHS tabulations of US Census Bureau, Decennial Censuses.</t>
  </si>
  <si>
    <t>Exurbs are the remainder of the metro area.  Urbanized areas are from the 2000 Census. Census data do not include post-enumeration adjustments.</t>
  </si>
  <si>
    <t>Notes: The top 100 metros are ranked by 2010 population.  Cores are cities with more than 100,000 people.  Suburbs are urbanized areas outside of cores.</t>
  </si>
  <si>
    <t>Table W-2: Metro Area Price-to-Income Ratios: 1990-2011</t>
  </si>
  <si>
    <t>Table W-3: Metro Area Mortgage Payment-to-Income Ratios: 1990-2011</t>
  </si>
  <si>
    <t>Notes: Mortgage payments are for the median priced home assuming a 30-year fixed rate mortgage with a 10 percent downpayment.  Incomes are for the median household.</t>
  </si>
  <si>
    <t>Table W-6 : Household Energy Consumption by Region and Age of Structure: 2005</t>
  </si>
  <si>
    <t>Table A-1: Housing Market Indicators 1980-2011</t>
  </si>
  <si>
    <t>Appendix Tables</t>
  </si>
  <si>
    <r>
      <t xml:space="preserve">2012 State of the Nation's Housing
</t>
    </r>
    <r>
      <rPr>
        <sz val="12"/>
        <color theme="1"/>
        <rFont val="Calibri"/>
        <family val="2"/>
        <scheme val="minor"/>
      </rPr>
      <t>Joint Center for Housing Studies of Harvard University</t>
    </r>
  </si>
  <si>
    <t>Web Tables</t>
  </si>
  <si>
    <t>Millions of Households</t>
  </si>
  <si>
    <t>Number</t>
  </si>
  <si>
    <t xml:space="preserve">Number </t>
  </si>
  <si>
    <t>Table W-8: Terms on Conventional Single-Family Home Purchase Mortgage Originations: 1980-2011</t>
  </si>
  <si>
    <t>Table W-8: Terms on Conventional Single-Family Home Purchase Mortgage Originations: 1980–2011</t>
  </si>
  <si>
    <t>Table W-9: Distribution of Renters and Owners by Household Characteristics: 2010</t>
  </si>
  <si>
    <t>Table A-2: Homeownership Rates by Age, Race/Ethnicity, and Region: 1994-2010</t>
  </si>
  <si>
    <t>Table A-3: Housing Cost Burdened by Tenure and Income: 2001, 2007, and 2010</t>
  </si>
  <si>
    <t>Table A-5: Monthly Housing and Non-Housing Expenditures by Households with children: 2010</t>
  </si>
  <si>
    <t>Table A-2. Homeownership Rates by Age, Race/Ethnicity, and Region: 1994–2011</t>
  </si>
  <si>
    <r>
      <t>Table A-3. Housing Cost</t>
    </r>
    <r>
      <rPr>
        <b/>
        <sz val="11"/>
        <color indexed="8"/>
        <rFont val="Calibri"/>
        <family val="2"/>
      </rPr>
      <t>-</t>
    </r>
    <r>
      <rPr>
        <b/>
        <sz val="11"/>
        <color theme="1"/>
        <rFont val="Calibri"/>
        <family val="2"/>
        <scheme val="minor"/>
      </rPr>
      <t>Burdened</t>
    </r>
    <r>
      <rPr>
        <b/>
        <sz val="11"/>
        <color indexed="8"/>
        <rFont val="Calibri"/>
        <family val="2"/>
      </rPr>
      <t xml:space="preserve"> Households</t>
    </r>
    <r>
      <rPr>
        <b/>
        <sz val="11"/>
        <color theme="1"/>
        <rFont val="Calibri"/>
        <family val="2"/>
        <scheme val="minor"/>
      </rPr>
      <t xml:space="preserve"> by Tenure and Income</t>
    </r>
    <r>
      <rPr>
        <b/>
        <sz val="11"/>
        <color indexed="8"/>
        <rFont val="Calibri"/>
        <family val="2"/>
      </rPr>
      <t xml:space="preserve">: </t>
    </r>
    <r>
      <rPr>
        <b/>
        <sz val="11"/>
        <color theme="1"/>
        <rFont val="Calibri"/>
        <family val="2"/>
        <scheme val="minor"/>
      </rPr>
      <t>2001, 2007 and 2010</t>
    </r>
  </si>
  <si>
    <t>Table A-5. Monthly Housing and Non-Housing Expenditures by Households with Children: 2010</t>
  </si>
  <si>
    <r>
      <t xml:space="preserve"> Table </t>
    </r>
    <r>
      <rPr>
        <b/>
        <sz val="11"/>
        <color theme="1"/>
        <rFont val="Calibri"/>
        <family val="2"/>
        <scheme val="minor"/>
      </rPr>
      <t>A-6</t>
    </r>
    <r>
      <rPr>
        <b/>
        <sz val="11"/>
        <color indexed="8"/>
        <rFont val="Calibri"/>
        <family val="2"/>
      </rPr>
      <t>.</t>
    </r>
    <r>
      <rPr>
        <b/>
        <sz val="11"/>
        <color theme="1"/>
        <rFont val="Calibri"/>
        <family val="2"/>
        <scheme val="minor"/>
      </rPr>
      <t xml:space="preserve"> Homebuying Affordabilit</t>
    </r>
    <r>
      <rPr>
        <b/>
        <sz val="11"/>
        <color indexed="8"/>
        <rFont val="Calibri"/>
        <family val="2"/>
      </rPr>
      <t>y: 1990–2011</t>
    </r>
  </si>
  <si>
    <t>Table W-9  Distribution of Renters and Owners by Household Characteristics: 2010</t>
  </si>
  <si>
    <r>
      <t>Table A-6: Homebuying Affordability: 1990</t>
    </r>
    <r>
      <rPr>
        <sz val="11"/>
        <color theme="1"/>
        <rFont val="Calibri"/>
        <family val="2"/>
      </rPr>
      <t>–2011</t>
    </r>
  </si>
  <si>
    <t>Table A-4: Share of Severely Burdened Households by Demographic Characteristics: 2010</t>
  </si>
  <si>
    <t>Table A-4 . Share of Severely Burdened Households by Demographic Characteristics, 2010</t>
  </si>
</sst>
</file>

<file path=xl/styles.xml><?xml version="1.0" encoding="utf-8"?>
<styleSheet xmlns="http://schemas.openxmlformats.org/spreadsheetml/2006/main">
  <numFmts count="14">
    <numFmt numFmtId="6" formatCode="&quot;$&quot;#,##0_);[Red]\(&quot;$&quot;#,##0\)"/>
    <numFmt numFmtId="44" formatCode="_(&quot;$&quot;* #,##0.00_);_(&quot;$&quot;* \(#,##0.00\);_(&quot;$&quot;* &quot;-&quot;??_);_(@_)"/>
    <numFmt numFmtId="43" formatCode="_(* #,##0.00_);_(* \(#,##0.00\);_(* &quot;-&quot;??_);_(@_)"/>
    <numFmt numFmtId="164" formatCode="General_)"/>
    <numFmt numFmtId="165" formatCode="0.0"/>
    <numFmt numFmtId="166" formatCode="_(&quot;$&quot;* #,##0_);_(&quot;$&quot;* \(#,##0\);_(&quot;$&quot;* &quot;-&quot;??_);_(@_)"/>
    <numFmt numFmtId="167" formatCode="#,##0.0"/>
    <numFmt numFmtId="168" formatCode="0.0%"/>
    <numFmt numFmtId="169" formatCode="_(* #,##0_);_(* \(#,##0\);_(* &quot;-&quot;??_);_(@_)"/>
    <numFmt numFmtId="170" formatCode="_(* #,##0.0_);_(* \(#,##0.0\);_(* &quot;-&quot;??_);_(@_)"/>
    <numFmt numFmtId="171" formatCode="#,##0.000000"/>
    <numFmt numFmtId="172" formatCode="0.0_)"/>
    <numFmt numFmtId="173" formatCode="0.00000"/>
    <numFmt numFmtId="174" formatCode="&quot;$&quot;#,##0"/>
  </numFmts>
  <fonts count="51">
    <font>
      <sz val="11"/>
      <color theme="1"/>
      <name val="Calibri"/>
      <family val="2"/>
      <scheme val="minor"/>
    </font>
    <font>
      <b/>
      <sz val="11"/>
      <color theme="1"/>
      <name val="Calibri"/>
      <family val="2"/>
      <scheme val="minor"/>
    </font>
    <font>
      <sz val="11"/>
      <color theme="1"/>
      <name val="Calibri"/>
      <family val="2"/>
      <scheme val="minor"/>
    </font>
    <font>
      <sz val="12"/>
      <name val="Helv"/>
    </font>
    <font>
      <sz val="10"/>
      <name val="Arial"/>
      <family val="2"/>
    </font>
    <font>
      <sz val="11"/>
      <color indexed="8"/>
      <name val="Calibri"/>
      <family val="2"/>
    </font>
    <font>
      <sz val="10"/>
      <name val="Arial"/>
      <family val="2"/>
    </font>
    <font>
      <sz val="10"/>
      <color indexed="12"/>
      <name val="Arial"/>
      <family val="2"/>
    </font>
    <font>
      <b/>
      <sz val="10"/>
      <name val="Arial"/>
      <family val="2"/>
    </font>
    <font>
      <b/>
      <sz val="12"/>
      <name val="Arial"/>
      <family val="2"/>
    </font>
    <font>
      <b/>
      <sz val="12"/>
      <color indexed="10"/>
      <name val="Arial"/>
      <family val="2"/>
    </font>
    <font>
      <sz val="10"/>
      <color theme="1"/>
      <name val="Calibri"/>
      <family val="2"/>
      <scheme val="minor"/>
    </font>
    <font>
      <sz val="10"/>
      <name val="MS Sans Serif"/>
      <family val="2"/>
    </font>
    <font>
      <sz val="11"/>
      <name val="Calibri"/>
      <family val="2"/>
      <scheme val="minor"/>
    </font>
    <font>
      <b/>
      <sz val="11"/>
      <name val="Calibri"/>
      <family val="2"/>
      <scheme val="minor"/>
    </font>
    <font>
      <sz val="12"/>
      <name val="Arial"/>
      <family val="2"/>
    </font>
    <font>
      <b/>
      <sz val="10"/>
      <color indexed="8"/>
      <name val="Arial"/>
      <family val="2"/>
    </font>
    <font>
      <sz val="8"/>
      <color indexed="8"/>
      <name val="Arial"/>
      <family val="2"/>
    </font>
    <font>
      <b/>
      <sz val="8"/>
      <color indexed="8"/>
      <name val="Arial"/>
      <family val="2"/>
    </font>
    <font>
      <sz val="10"/>
      <color indexed="8"/>
      <name val="Arial"/>
      <family val="2"/>
    </font>
    <font>
      <sz val="11"/>
      <color rgb="FF00000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i/>
      <sz val="11"/>
      <color theme="1"/>
      <name val="Calibri"/>
      <family val="2"/>
      <scheme val="minor"/>
    </font>
    <font>
      <b/>
      <sz val="11"/>
      <name val="Arial"/>
      <family val="2"/>
    </font>
    <font>
      <sz val="11"/>
      <name val="Arial"/>
      <family val="2"/>
    </font>
    <font>
      <b/>
      <sz val="10"/>
      <name val="Calibri"/>
      <family val="2"/>
      <scheme val="minor"/>
    </font>
    <font>
      <b/>
      <i/>
      <sz val="10"/>
      <color theme="5" tint="-0.499984740745262"/>
      <name val="Arial"/>
      <family val="2"/>
    </font>
    <font>
      <i/>
      <sz val="11"/>
      <name val="Calibri"/>
      <family val="2"/>
      <scheme val="minor"/>
    </font>
    <font>
      <sz val="10"/>
      <name val="Arial"/>
      <family val="2"/>
    </font>
    <font>
      <b/>
      <sz val="11"/>
      <color indexed="8"/>
      <name val="Arial"/>
      <family val="2"/>
    </font>
    <font>
      <sz val="11"/>
      <color indexed="8"/>
      <name val="Arial"/>
      <family val="2"/>
    </font>
    <font>
      <sz val="11"/>
      <color theme="1"/>
      <name val="Calibri"/>
      <family val="2"/>
    </font>
    <font>
      <b/>
      <sz val="14"/>
      <color theme="1"/>
      <name val="Calibri"/>
      <family val="2"/>
      <scheme val="minor"/>
    </font>
    <font>
      <sz val="14"/>
      <color theme="1"/>
      <name val="Calibri"/>
      <family val="2"/>
      <scheme val="minor"/>
    </font>
    <font>
      <sz val="12"/>
      <color theme="1"/>
      <name val="Calibri"/>
      <family val="2"/>
      <scheme val="minor"/>
    </font>
  </fonts>
  <fills count="27">
    <fill>
      <patternFill patternType="none"/>
    </fill>
    <fill>
      <patternFill patternType="gray125"/>
    </fill>
    <fill>
      <patternFill patternType="gray0625">
        <fgColor indexed="1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64"/>
      </left>
      <right style="thin">
        <color indexed="64"/>
      </right>
      <top style="thin">
        <color indexed="64"/>
      </top>
      <bottom/>
      <diagonal/>
    </border>
  </borders>
  <cellStyleXfs count="75">
    <xf numFmtId="0" fontId="0" fillId="0" borderId="0"/>
    <xf numFmtId="43" fontId="2" fillId="0" borderId="0" applyFont="0" applyFill="0" applyBorder="0" applyAlignment="0" applyProtection="0"/>
    <xf numFmtId="164" fontId="3" fillId="0" borderId="0"/>
    <xf numFmtId="44" fontId="4" fillId="0" borderId="0" applyFont="0" applyFill="0" applyBorder="0" applyAlignment="0" applyProtection="0"/>
    <xf numFmtId="0" fontId="6" fillId="0" borderId="0"/>
    <xf numFmtId="164" fontId="3" fillId="0" borderId="0"/>
    <xf numFmtId="164" fontId="3" fillId="0" borderId="0"/>
    <xf numFmtId="9"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2"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2" fillId="0" borderId="0"/>
    <xf numFmtId="0" fontId="2" fillId="0" borderId="0"/>
    <xf numFmtId="0" fontId="4" fillId="0" borderId="0"/>
    <xf numFmtId="9" fontId="4" fillId="0" borderId="0" applyFont="0" applyFill="0" applyBorder="0" applyAlignment="0" applyProtection="0"/>
    <xf numFmtId="0" fontId="4" fillId="2" borderId="0" applyNumberFormat="0" applyFont="0" applyBorder="0" applyAlignment="0" applyProtection="0"/>
    <xf numFmtId="0" fontId="12" fillId="0" borderId="0"/>
    <xf numFmtId="0" fontId="2" fillId="0" borderId="0"/>
    <xf numFmtId="0" fontId="2" fillId="0" borderId="0"/>
    <xf numFmtId="0" fontId="4" fillId="0" borderId="0"/>
    <xf numFmtId="0" fontId="4"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7" applyNumberFormat="0" applyAlignment="0" applyProtection="0"/>
    <xf numFmtId="0" fontId="24" fillId="22" borderId="8"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9" applyNumberFormat="0" applyFill="0" applyAlignment="0" applyProtection="0"/>
    <xf numFmtId="0" fontId="28" fillId="0" borderId="10" applyNumberFormat="0" applyFill="0" applyAlignment="0" applyProtection="0"/>
    <xf numFmtId="0" fontId="29" fillId="0" borderId="11" applyNumberFormat="0" applyFill="0" applyAlignment="0" applyProtection="0"/>
    <xf numFmtId="0" fontId="29" fillId="0" borderId="0" applyNumberFormat="0" applyFill="0" applyBorder="0" applyAlignment="0" applyProtection="0"/>
    <xf numFmtId="0" fontId="30" fillId="8" borderId="7" applyNumberFormat="0" applyAlignment="0" applyProtection="0"/>
    <xf numFmtId="0" fontId="31" fillId="0" borderId="12" applyNumberFormat="0" applyFill="0" applyAlignment="0" applyProtection="0"/>
    <xf numFmtId="0" fontId="32" fillId="23" borderId="0" applyNumberFormat="0" applyBorder="0" applyAlignment="0" applyProtection="0"/>
    <xf numFmtId="0" fontId="15" fillId="0" borderId="0"/>
    <xf numFmtId="0" fontId="5" fillId="24" borderId="13" applyNumberFormat="0" applyFont="0" applyAlignment="0" applyProtection="0"/>
    <xf numFmtId="0" fontId="33" fillId="21" borderId="14" applyNumberFormat="0" applyAlignment="0" applyProtection="0"/>
    <xf numFmtId="9" fontId="2" fillId="0" borderId="0" applyFont="0" applyFill="0" applyBorder="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0" applyNumberFormat="0" applyFill="0" applyBorder="0" applyAlignment="0" applyProtection="0"/>
    <xf numFmtId="0" fontId="37" fillId="0" borderId="0"/>
    <xf numFmtId="0" fontId="4" fillId="0" borderId="0"/>
    <xf numFmtId="0" fontId="4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78">
    <xf numFmtId="0" fontId="0" fillId="0" borderId="0" xfId="0"/>
    <xf numFmtId="0" fontId="1" fillId="0" borderId="0" xfId="0" applyFont="1"/>
    <xf numFmtId="164" fontId="4" fillId="0" borderId="0" xfId="2" applyFont="1" applyFill="1"/>
    <xf numFmtId="3" fontId="4" fillId="0" borderId="0" xfId="2" applyNumberFormat="1" applyFont="1" applyFill="1"/>
    <xf numFmtId="165" fontId="4" fillId="0" borderId="0" xfId="2" applyNumberFormat="1" applyFont="1" applyFill="1"/>
    <xf numFmtId="164" fontId="4" fillId="0" borderId="0" xfId="2" applyFont="1" applyFill="1" applyAlignment="1">
      <alignment horizontal="left"/>
    </xf>
    <xf numFmtId="166" fontId="5" fillId="0" borderId="0" xfId="3" applyNumberFormat="1" applyFont="1" applyFill="1"/>
    <xf numFmtId="3" fontId="4" fillId="0" borderId="0" xfId="2" applyNumberFormat="1" applyFont="1" applyFill="1" applyAlignment="1"/>
    <xf numFmtId="165" fontId="4" fillId="0" borderId="0" xfId="2" applyNumberFormat="1" applyFont="1" applyFill="1" applyAlignment="1"/>
    <xf numFmtId="164" fontId="4" fillId="0" borderId="0" xfId="2" applyFont="1" applyFill="1" applyAlignment="1"/>
    <xf numFmtId="166" fontId="5" fillId="0" borderId="0" xfId="3" applyNumberFormat="1" applyFont="1" applyFill="1" applyAlignment="1"/>
    <xf numFmtId="3" fontId="4" fillId="0" borderId="0" xfId="5" applyNumberFormat="1" applyFont="1" applyFill="1" applyAlignment="1"/>
    <xf numFmtId="164" fontId="4" fillId="0" borderId="0" xfId="6" applyNumberFormat="1" applyFont="1" applyFill="1"/>
    <xf numFmtId="164" fontId="4" fillId="0" borderId="0" xfId="6" applyNumberFormat="1" applyFont="1" applyFill="1" applyAlignment="1">
      <alignment horizontal="left"/>
    </xf>
    <xf numFmtId="164" fontId="4" fillId="0" borderId="0" xfId="5" applyNumberFormat="1" applyFont="1" applyFill="1" applyAlignment="1">
      <alignment horizontal="left"/>
    </xf>
    <xf numFmtId="165" fontId="7" fillId="0" borderId="0" xfId="2" applyNumberFormat="1" applyFont="1" applyFill="1"/>
    <xf numFmtId="3" fontId="4" fillId="0" borderId="0" xfId="6" applyNumberFormat="1" applyFont="1" applyFill="1" applyAlignment="1"/>
    <xf numFmtId="165" fontId="4" fillId="0" borderId="0" xfId="6" applyNumberFormat="1" applyFont="1" applyFill="1" applyAlignment="1"/>
    <xf numFmtId="164" fontId="4" fillId="0" borderId="0" xfId="6" applyNumberFormat="1" applyFont="1" applyFill="1" applyAlignment="1"/>
    <xf numFmtId="169" fontId="4" fillId="0" borderId="0" xfId="8" applyNumberFormat="1" applyFill="1"/>
    <xf numFmtId="3" fontId="4" fillId="0" borderId="0" xfId="8" applyNumberFormat="1" applyFont="1" applyFill="1" applyAlignment="1">
      <alignment horizontal="center"/>
    </xf>
    <xf numFmtId="3" fontId="4" fillId="0" borderId="0" xfId="5" applyNumberFormat="1" applyFont="1" applyFill="1" applyAlignment="1">
      <alignment horizontal="center"/>
    </xf>
    <xf numFmtId="3" fontId="4" fillId="0" borderId="0" xfId="6" applyNumberFormat="1" applyFont="1" applyFill="1" applyAlignment="1">
      <alignment horizontal="center"/>
    </xf>
    <xf numFmtId="169" fontId="4" fillId="0" borderId="0" xfId="8" applyNumberFormat="1" applyFont="1" applyFill="1" applyAlignment="1">
      <alignment horizontal="center"/>
    </xf>
    <xf numFmtId="169" fontId="4" fillId="0" borderId="0" xfId="8" applyNumberFormat="1" applyFill="1" applyAlignment="1">
      <alignment horizontal="center"/>
    </xf>
    <xf numFmtId="170" fontId="4" fillId="0" borderId="0" xfId="8" applyNumberFormat="1" applyFont="1" applyFill="1" applyAlignment="1">
      <alignment horizontal="center"/>
    </xf>
    <xf numFmtId="3" fontId="4" fillId="0" borderId="0" xfId="8" applyNumberFormat="1" applyFill="1" applyAlignment="1">
      <alignment horizontal="center"/>
    </xf>
    <xf numFmtId="164" fontId="4" fillId="0" borderId="0" xfId="2" applyFont="1" applyFill="1" applyAlignment="1">
      <alignment horizontal="right"/>
    </xf>
    <xf numFmtId="164" fontId="4" fillId="0" borderId="0" xfId="6" applyNumberFormat="1" applyFont="1" applyFill="1" applyAlignment="1">
      <alignment horizontal="right"/>
    </xf>
    <xf numFmtId="3" fontId="4" fillId="0" borderId="1" xfId="6" applyNumberFormat="1" applyFont="1" applyFill="1" applyBorder="1" applyAlignment="1" applyProtection="1">
      <alignment horizontal="center"/>
    </xf>
    <xf numFmtId="164" fontId="4" fillId="0" borderId="0" xfId="6" applyNumberFormat="1" applyFont="1" applyFill="1" applyAlignment="1" applyProtection="1">
      <alignment horizontal="left"/>
    </xf>
    <xf numFmtId="165" fontId="4" fillId="0" borderId="0" xfId="6" applyNumberFormat="1" applyFont="1" applyFill="1" applyAlignment="1">
      <alignment horizontal="center"/>
    </xf>
    <xf numFmtId="164" fontId="4" fillId="0" borderId="0" xfId="6" applyNumberFormat="1" applyFont="1" applyFill="1" applyAlignment="1">
      <alignment horizontal="center"/>
    </xf>
    <xf numFmtId="3" fontId="4" fillId="0" borderId="0" xfId="6" applyNumberFormat="1" applyFont="1" applyFill="1" applyBorder="1" applyAlignment="1">
      <alignment horizontal="center"/>
    </xf>
    <xf numFmtId="3" fontId="4" fillId="0" borderId="0" xfId="2" applyNumberFormat="1" applyFont="1" applyFill="1" applyBorder="1" applyAlignment="1">
      <alignment horizontal="center"/>
    </xf>
    <xf numFmtId="1" fontId="8" fillId="0" borderId="0" xfId="6" applyNumberFormat="1" applyFont="1" applyFill="1" applyBorder="1" applyAlignment="1" applyProtection="1">
      <alignment horizontal="center"/>
    </xf>
    <xf numFmtId="164" fontId="4" fillId="0" borderId="0" xfId="2" applyFont="1" applyFill="1" applyBorder="1" applyAlignment="1">
      <alignment horizontal="left"/>
    </xf>
    <xf numFmtId="171" fontId="4" fillId="0" borderId="0" xfId="6" applyNumberFormat="1" applyFont="1" applyFill="1" applyAlignment="1">
      <alignment horizontal="center"/>
    </xf>
    <xf numFmtId="1" fontId="8" fillId="0" borderId="0" xfId="6" applyNumberFormat="1" applyFont="1" applyFill="1" applyAlignment="1" applyProtection="1">
      <alignment horizontal="left"/>
    </xf>
    <xf numFmtId="171" fontId="4" fillId="0" borderId="0" xfId="6" applyNumberFormat="1" applyFont="1" applyFill="1" applyAlignment="1"/>
    <xf numFmtId="3" fontId="4" fillId="0" borderId="0" xfId="6" applyNumberFormat="1" applyFont="1" applyFill="1"/>
    <xf numFmtId="165" fontId="4" fillId="0" borderId="0" xfId="8" applyNumberFormat="1" applyFont="1" applyFill="1" applyAlignment="1"/>
    <xf numFmtId="165" fontId="8" fillId="0" borderId="0" xfId="8" applyNumberFormat="1" applyFont="1" applyFill="1" applyAlignment="1"/>
    <xf numFmtId="170" fontId="4" fillId="0" borderId="0" xfId="8" applyNumberFormat="1" applyFont="1" applyFill="1" applyAlignment="1"/>
    <xf numFmtId="170" fontId="0" fillId="0" borderId="0" xfId="8" applyNumberFormat="1" applyFont="1" applyFill="1" applyAlignment="1"/>
    <xf numFmtId="170" fontId="4" fillId="0" borderId="0" xfId="8" applyNumberFormat="1" applyFont="1" applyFill="1" applyBorder="1" applyAlignment="1"/>
    <xf numFmtId="1" fontId="4" fillId="0" borderId="0" xfId="8" applyNumberFormat="1" applyFont="1" applyFill="1" applyBorder="1" applyAlignment="1"/>
    <xf numFmtId="2" fontId="0" fillId="0" borderId="0" xfId="0" applyNumberFormat="1"/>
    <xf numFmtId="169" fontId="0" fillId="0" borderId="0" xfId="1" applyNumberFormat="1" applyFont="1"/>
    <xf numFmtId="0" fontId="8" fillId="0" borderId="0" xfId="0" applyFont="1"/>
    <xf numFmtId="0" fontId="16" fillId="0" borderId="0" xfId="19" applyFont="1" applyFill="1" applyBorder="1" applyAlignment="1">
      <alignment horizontal="left"/>
    </xf>
    <xf numFmtId="2" fontId="16" fillId="0" borderId="0" xfId="7" applyNumberFormat="1" applyFont="1" applyFill="1" applyBorder="1" applyAlignment="1">
      <alignment horizontal="center"/>
    </xf>
    <xf numFmtId="0" fontId="16" fillId="0" borderId="0" xfId="19" applyFont="1" applyFill="1" applyBorder="1"/>
    <xf numFmtId="0" fontId="16" fillId="0" borderId="0" xfId="19" quotePrefix="1" applyFont="1" applyFill="1" applyBorder="1"/>
    <xf numFmtId="2" fontId="17" fillId="0" borderId="0" xfId="19" applyNumberFormat="1" applyFont="1" applyFill="1" applyBorder="1" applyAlignment="1">
      <alignment horizontal="center"/>
    </xf>
    <xf numFmtId="2" fontId="18" fillId="0" borderId="0" xfId="19" applyNumberFormat="1" applyFont="1" applyFill="1" applyBorder="1" applyAlignment="1">
      <alignment horizontal="center"/>
    </xf>
    <xf numFmtId="0" fontId="19" fillId="0" borderId="0" xfId="19" applyFont="1" applyFill="1" applyBorder="1"/>
    <xf numFmtId="173" fontId="18" fillId="0" borderId="0" xfId="19" applyNumberFormat="1" applyFont="1" applyFill="1" applyBorder="1" applyAlignment="1">
      <alignment horizontal="left" wrapText="1"/>
    </xf>
    <xf numFmtId="173" fontId="18" fillId="0" borderId="0" xfId="19" applyNumberFormat="1" applyFont="1" applyFill="1" applyBorder="1" applyAlignment="1">
      <alignment horizontal="right" wrapText="1"/>
    </xf>
    <xf numFmtId="2" fontId="16" fillId="0" borderId="0" xfId="19" applyNumberFormat="1" applyFont="1" applyFill="1" applyBorder="1" applyAlignment="1"/>
    <xf numFmtId="2" fontId="18" fillId="0" borderId="0" xfId="19" applyNumberFormat="1" applyFont="1" applyFill="1" applyBorder="1" applyAlignment="1">
      <alignment horizontal="left" indent="1"/>
    </xf>
    <xf numFmtId="2" fontId="18" fillId="0" borderId="0" xfId="19" applyNumberFormat="1" applyFont="1" applyFill="1" applyBorder="1" applyAlignment="1">
      <alignment horizontal="left"/>
    </xf>
    <xf numFmtId="174" fontId="17" fillId="0" borderId="0" xfId="19" applyNumberFormat="1" applyFont="1" applyFill="1" applyBorder="1" applyAlignment="1">
      <alignment horizontal="left"/>
    </xf>
    <xf numFmtId="0" fontId="0" fillId="0" borderId="0" xfId="0" applyBorder="1"/>
    <xf numFmtId="0" fontId="1" fillId="0" borderId="0" xfId="0" applyFont="1" applyBorder="1"/>
    <xf numFmtId="0" fontId="0" fillId="0" borderId="0" xfId="0"/>
    <xf numFmtId="1" fontId="1" fillId="0" borderId="0" xfId="0" applyNumberFormat="1" applyFont="1" applyAlignment="1">
      <alignment horizontal="center"/>
    </xf>
    <xf numFmtId="0" fontId="1" fillId="0" borderId="0" xfId="0" applyFont="1" applyAlignment="1">
      <alignment horizontal="center"/>
    </xf>
    <xf numFmtId="0" fontId="1" fillId="25" borderId="4" xfId="0" applyFont="1" applyFill="1" applyBorder="1"/>
    <xf numFmtId="0" fontId="0" fillId="25" borderId="4" xfId="0" applyFill="1" applyBorder="1"/>
    <xf numFmtId="0" fontId="0" fillId="26" borderId="4" xfId="0" applyFill="1" applyBorder="1"/>
    <xf numFmtId="0" fontId="5" fillId="0" borderId="16" xfId="5" applyNumberFormat="1" applyFont="1" applyFill="1" applyBorder="1" applyAlignment="1"/>
    <xf numFmtId="3" fontId="5" fillId="0" borderId="4" xfId="5" applyNumberFormat="1" applyFont="1" applyFill="1" applyBorder="1" applyAlignment="1">
      <alignment horizontal="right" wrapText="1"/>
    </xf>
    <xf numFmtId="3" fontId="5" fillId="26" borderId="4" xfId="5" applyNumberFormat="1" applyFont="1" applyFill="1" applyBorder="1" applyAlignment="1">
      <alignment horizontal="right" wrapText="1"/>
    </xf>
    <xf numFmtId="3" fontId="0" fillId="26" borderId="4" xfId="0" applyNumberFormat="1" applyFill="1" applyBorder="1"/>
    <xf numFmtId="9" fontId="0" fillId="0" borderId="4" xfId="0" applyNumberFormat="1" applyBorder="1"/>
    <xf numFmtId="9" fontId="0" fillId="26" borderId="4" xfId="0" applyNumberFormat="1" applyFill="1" applyBorder="1"/>
    <xf numFmtId="9" fontId="0" fillId="0" borderId="0" xfId="0" applyNumberFormat="1"/>
    <xf numFmtId="0" fontId="5" fillId="0" borderId="17" xfId="5" applyNumberFormat="1" applyFont="1" applyFill="1" applyBorder="1" applyAlignment="1"/>
    <xf numFmtId="0" fontId="5" fillId="0" borderId="18" xfId="5" applyNumberFormat="1" applyFont="1" applyFill="1" applyBorder="1" applyAlignment="1"/>
    <xf numFmtId="0" fontId="35" fillId="25" borderId="4" xfId="5" applyNumberFormat="1" applyFont="1" applyFill="1" applyBorder="1" applyAlignment="1"/>
    <xf numFmtId="3" fontId="0" fillId="25" borderId="4" xfId="0" applyNumberFormat="1" applyFill="1" applyBorder="1"/>
    <xf numFmtId="9" fontId="0" fillId="25" borderId="4" xfId="0" applyNumberFormat="1" applyFill="1" applyBorder="1"/>
    <xf numFmtId="0" fontId="0" fillId="25" borderId="0" xfId="0" applyFill="1"/>
    <xf numFmtId="0" fontId="4" fillId="0" borderId="0" xfId="70" applyFont="1" applyFill="1"/>
    <xf numFmtId="0" fontId="37" fillId="0" borderId="0" xfId="70" applyFill="1"/>
    <xf numFmtId="6" fontId="37" fillId="0" borderId="0" xfId="70" applyNumberFormat="1" applyFill="1" applyAlignment="1"/>
    <xf numFmtId="1" fontId="37" fillId="0" borderId="0" xfId="70" applyNumberFormat="1" applyFill="1"/>
    <xf numFmtId="165" fontId="20" fillId="0" borderId="4" xfId="0" applyNumberFormat="1" applyFont="1" applyFill="1" applyBorder="1" applyAlignment="1">
      <alignment vertical="top" wrapText="1"/>
    </xf>
    <xf numFmtId="9" fontId="0" fillId="0" borderId="4" xfId="0" applyNumberForma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9" fontId="13" fillId="0" borderId="4" xfId="8" applyNumberFormat="1" applyFont="1" applyFill="1" applyBorder="1"/>
    <xf numFmtId="0" fontId="0" fillId="0" borderId="0" xfId="0" applyBorder="1" applyAlignment="1">
      <alignment horizontal="right"/>
    </xf>
    <xf numFmtId="0" fontId="1" fillId="0" borderId="0" xfId="0" applyFont="1" applyBorder="1" applyAlignment="1">
      <alignment horizontal="right"/>
    </xf>
    <xf numFmtId="0" fontId="0" fillId="0" borderId="0" xfId="0" applyFont="1" applyBorder="1"/>
    <xf numFmtId="0" fontId="0" fillId="0" borderId="0" xfId="0" applyNumberFormat="1"/>
    <xf numFmtId="165" fontId="0" fillId="0" borderId="0" xfId="0" applyNumberFormat="1" applyBorder="1" applyAlignment="1">
      <alignment horizontal="right"/>
    </xf>
    <xf numFmtId="169" fontId="0" fillId="0" borderId="0" xfId="1" applyNumberFormat="1" applyFont="1" applyBorder="1"/>
    <xf numFmtId="0" fontId="0" fillId="0" borderId="0" xfId="0" applyFill="1" applyBorder="1"/>
    <xf numFmtId="0" fontId="38" fillId="0" borderId="0" xfId="0" applyFont="1" applyBorder="1"/>
    <xf numFmtId="169" fontId="38" fillId="0" borderId="0" xfId="1" applyNumberFormat="1" applyFont="1"/>
    <xf numFmtId="165" fontId="38" fillId="0" borderId="0" xfId="0" applyNumberFormat="1" applyFont="1" applyBorder="1" applyAlignment="1">
      <alignment horizontal="right"/>
    </xf>
    <xf numFmtId="1" fontId="0" fillId="0" borderId="0" xfId="0" applyNumberFormat="1" applyBorder="1"/>
    <xf numFmtId="1" fontId="0" fillId="0" borderId="0" xfId="1" applyNumberFormat="1" applyFont="1" applyBorder="1"/>
    <xf numFmtId="3" fontId="0" fillId="0" borderId="0" xfId="0" applyNumberFormat="1" applyBorder="1"/>
    <xf numFmtId="3" fontId="38" fillId="0" borderId="0" xfId="0" applyNumberFormat="1" applyFont="1" applyBorder="1"/>
    <xf numFmtId="3" fontId="0" fillId="0" borderId="0" xfId="0" applyNumberFormat="1"/>
    <xf numFmtId="3" fontId="4" fillId="0" borderId="0" xfId="22" applyNumberFormat="1" applyFont="1" applyFill="1" applyAlignment="1">
      <alignment wrapText="1"/>
    </xf>
    <xf numFmtId="165" fontId="8" fillId="0" borderId="0" xfId="22" applyNumberFormat="1" applyFont="1" applyFill="1" applyAlignment="1">
      <alignment horizontal="left"/>
    </xf>
    <xf numFmtId="165" fontId="8" fillId="0" borderId="0" xfId="22" applyNumberFormat="1" applyFont="1" applyFill="1" applyAlignment="1">
      <alignment horizontal="left" indent="1"/>
    </xf>
    <xf numFmtId="0" fontId="4" fillId="0" borderId="0" xfId="22" applyFont="1" applyFill="1"/>
    <xf numFmtId="0" fontId="8" fillId="0" borderId="0" xfId="22" applyFont="1" applyFill="1" applyBorder="1" applyAlignment="1"/>
    <xf numFmtId="0" fontId="42" fillId="0" borderId="0" xfId="22" applyFont="1" applyFill="1" applyBorder="1" applyAlignment="1"/>
    <xf numFmtId="0" fontId="1" fillId="0" borderId="0" xfId="0" applyFont="1" applyAlignment="1"/>
    <xf numFmtId="3" fontId="4" fillId="0" borderId="0" xfId="6" applyNumberFormat="1" applyFont="1" applyFill="1" applyBorder="1" applyAlignment="1" applyProtection="1">
      <alignment horizontal="center"/>
    </xf>
    <xf numFmtId="173" fontId="16" fillId="0" borderId="0" xfId="19" applyNumberFormat="1" applyFont="1" applyFill="1" applyBorder="1"/>
    <xf numFmtId="0" fontId="19" fillId="0" borderId="0" xfId="26" applyFont="1" applyFill="1" applyBorder="1" applyAlignment="1"/>
    <xf numFmtId="0" fontId="4" fillId="0" borderId="0" xfId="25" applyFont="1" applyFill="1" applyAlignment="1">
      <alignment wrapText="1"/>
    </xf>
    <xf numFmtId="172" fontId="4" fillId="0" borderId="0" xfId="25" applyNumberFormat="1" applyFont="1" applyFill="1" applyProtection="1"/>
    <xf numFmtId="0" fontId="0" fillId="0" borderId="0" xfId="0"/>
    <xf numFmtId="0" fontId="8" fillId="0" borderId="0" xfId="71" applyFont="1" applyFill="1" applyAlignment="1">
      <alignment vertical="top"/>
    </xf>
    <xf numFmtId="0" fontId="4" fillId="0" borderId="0" xfId="71" applyFont="1" applyFill="1"/>
    <xf numFmtId="0" fontId="10" fillId="0" borderId="0" xfId="71" applyFont="1" applyFill="1" applyAlignment="1">
      <alignment horizontal="left"/>
    </xf>
    <xf numFmtId="0" fontId="9" fillId="0" borderId="0" xfId="71" applyFont="1" applyFill="1"/>
    <xf numFmtId="0" fontId="4" fillId="0" borderId="0" xfId="71" applyFont="1" applyFill="1" applyAlignment="1">
      <alignment horizontal="center"/>
    </xf>
    <xf numFmtId="0" fontId="4" fillId="0" borderId="2" xfId="71" applyFont="1" applyFill="1" applyBorder="1" applyAlignment="1">
      <alignment horizontal="center"/>
    </xf>
    <xf numFmtId="0" fontId="4" fillId="0" borderId="0" xfId="71" applyFill="1" applyBorder="1" applyAlignment="1">
      <alignment horizontal="center"/>
    </xf>
    <xf numFmtId="0" fontId="4" fillId="0" borderId="0" xfId="71" applyFont="1" applyFill="1" applyBorder="1" applyAlignment="1">
      <alignment horizontal="right"/>
    </xf>
    <xf numFmtId="165" fontId="4" fillId="0" borderId="0" xfId="71" applyNumberFormat="1" applyFill="1"/>
    <xf numFmtId="165" fontId="4" fillId="0" borderId="0" xfId="71" applyNumberFormat="1" applyFill="1" applyBorder="1" applyAlignment="1">
      <alignment horizontal="center"/>
    </xf>
    <xf numFmtId="165" fontId="4" fillId="0" borderId="0" xfId="71" applyNumberFormat="1"/>
    <xf numFmtId="1" fontId="4" fillId="0" borderId="0" xfId="71" applyNumberFormat="1"/>
    <xf numFmtId="1" fontId="4" fillId="0" borderId="0" xfId="71" applyNumberFormat="1" applyAlignment="1">
      <alignment horizontal="right"/>
    </xf>
    <xf numFmtId="165" fontId="4" fillId="0" borderId="0" xfId="71" applyNumberFormat="1" applyFont="1" applyFill="1" applyBorder="1" applyAlignment="1">
      <alignment horizontal="center"/>
    </xf>
    <xf numFmtId="0" fontId="44" fillId="0" borderId="0" xfId="25" applyFont="1" applyFill="1"/>
    <xf numFmtId="165" fontId="44" fillId="0" borderId="0" xfId="25" applyNumberFormat="1" applyFont="1" applyFill="1"/>
    <xf numFmtId="165" fontId="44" fillId="0" borderId="0" xfId="25" applyNumberFormat="1" applyFont="1" applyFill="1" applyBorder="1" applyAlignment="1">
      <alignment horizontal="center"/>
    </xf>
    <xf numFmtId="2" fontId="44" fillId="0" borderId="0" xfId="25" applyNumberFormat="1" applyFont="1" applyFill="1"/>
    <xf numFmtId="2" fontId="4" fillId="0" borderId="0" xfId="71" applyNumberFormat="1" applyFill="1"/>
    <xf numFmtId="1" fontId="4" fillId="0" borderId="0" xfId="25" applyNumberFormat="1" applyFont="1" applyFill="1" applyBorder="1" applyAlignment="1">
      <alignment horizontal="right"/>
    </xf>
    <xf numFmtId="167" fontId="20" fillId="0" borderId="0" xfId="0" applyNumberFormat="1" applyFont="1" applyFill="1" applyBorder="1" applyAlignment="1">
      <alignment vertical="top" wrapText="1"/>
    </xf>
    <xf numFmtId="0" fontId="0" fillId="0" borderId="4" xfId="0" applyFill="1" applyBorder="1"/>
    <xf numFmtId="164" fontId="4" fillId="0" borderId="0" xfId="25" applyNumberFormat="1" applyFont="1" applyFill="1"/>
    <xf numFmtId="0" fontId="4" fillId="0" borderId="0" xfId="25" applyFont="1" applyFill="1"/>
    <xf numFmtId="0" fontId="4" fillId="0" borderId="0" xfId="25" applyFont="1" applyFill="1" applyAlignment="1">
      <alignment horizontal="left"/>
    </xf>
    <xf numFmtId="0" fontId="4" fillId="0" borderId="0" xfId="25" applyFont="1" applyFill="1" applyAlignment="1"/>
    <xf numFmtId="0" fontId="4" fillId="0" borderId="0" xfId="25" applyFill="1"/>
    <xf numFmtId="165" fontId="4" fillId="0" borderId="0" xfId="25" applyNumberFormat="1" applyFont="1" applyFill="1"/>
    <xf numFmtId="0" fontId="8" fillId="0" borderId="0" xfId="25" applyFont="1" applyFill="1"/>
    <xf numFmtId="165" fontId="11" fillId="0" borderId="0" xfId="25" applyNumberFormat="1" applyFont="1" applyFill="1"/>
    <xf numFmtId="165" fontId="4" fillId="0" borderId="0" xfId="25" applyNumberFormat="1" applyFont="1" applyFill="1" applyProtection="1"/>
    <xf numFmtId="172" fontId="11" fillId="0" borderId="0" xfId="25" applyNumberFormat="1" applyFont="1" applyFill="1" applyProtection="1"/>
    <xf numFmtId="170" fontId="4" fillId="0" borderId="0" xfId="25" applyNumberFormat="1" applyFont="1" applyFill="1"/>
    <xf numFmtId="0" fontId="4" fillId="0" borderId="0" xfId="25" applyFont="1" applyFill="1" applyAlignment="1">
      <alignment horizontal="left" indent="2"/>
    </xf>
    <xf numFmtId="3" fontId="16" fillId="0" borderId="0" xfId="0" applyNumberFormat="1" applyFont="1" applyFill="1"/>
    <xf numFmtId="165" fontId="19" fillId="0" borderId="0" xfId="0" applyNumberFormat="1" applyFont="1" applyFill="1"/>
    <xf numFmtId="3" fontId="19" fillId="0" borderId="0" xfId="0" applyNumberFormat="1" applyFont="1" applyFill="1"/>
    <xf numFmtId="0" fontId="19" fillId="0" borderId="0" xfId="0" applyFont="1" applyFill="1"/>
    <xf numFmtId="0" fontId="45" fillId="0" borderId="0" xfId="0" applyFont="1" applyFill="1"/>
    <xf numFmtId="0" fontId="19" fillId="0" borderId="6" xfId="19" applyFont="1" applyFill="1" applyBorder="1"/>
    <xf numFmtId="0" fontId="19" fillId="0" borderId="5" xfId="19" applyFont="1" applyFill="1" applyBorder="1"/>
    <xf numFmtId="173" fontId="18" fillId="0" borderId="4" xfId="19" applyNumberFormat="1" applyFont="1" applyFill="1" applyBorder="1" applyAlignment="1">
      <alignment horizontal="center" wrapText="1"/>
    </xf>
    <xf numFmtId="0" fontId="0" fillId="0" borderId="0" xfId="0" applyAlignment="1">
      <alignment horizontal="right"/>
    </xf>
    <xf numFmtId="174" fontId="17" fillId="0" borderId="0" xfId="25" applyNumberFormat="1" applyFont="1" applyFill="1" applyBorder="1" applyAlignment="1">
      <alignment horizontal="center"/>
    </xf>
    <xf numFmtId="174" fontId="17" fillId="0" borderId="0" xfId="26" applyNumberFormat="1" applyFont="1" applyFill="1" applyBorder="1" applyAlignment="1">
      <alignment horizontal="center"/>
    </xf>
    <xf numFmtId="174" fontId="17" fillId="0" borderId="0" xfId="19" applyNumberFormat="1" applyFont="1" applyFill="1" applyBorder="1" applyAlignment="1">
      <alignment horizontal="center"/>
    </xf>
    <xf numFmtId="0" fontId="16" fillId="0" borderId="6" xfId="19" applyFont="1" applyFill="1" applyBorder="1"/>
    <xf numFmtId="0" fontId="4" fillId="0" borderId="0" xfId="74"/>
    <xf numFmtId="0" fontId="8" fillId="0" borderId="0" xfId="74" applyFont="1"/>
    <xf numFmtId="0" fontId="8" fillId="0" borderId="0" xfId="74" applyFont="1" applyAlignment="1">
      <alignment horizontal="center"/>
    </xf>
    <xf numFmtId="2" fontId="4" fillId="0" borderId="0" xfId="74" applyNumberFormat="1" applyAlignment="1">
      <alignment horizontal="center"/>
    </xf>
    <xf numFmtId="168" fontId="4" fillId="0" borderId="0" xfId="74" applyNumberFormat="1"/>
    <xf numFmtId="0" fontId="4" fillId="0" borderId="0" xfId="74" applyFill="1"/>
    <xf numFmtId="2" fontId="4" fillId="0" borderId="0" xfId="74" applyNumberFormat="1" applyFill="1" applyAlignment="1">
      <alignment horizontal="center"/>
    </xf>
    <xf numFmtId="2" fontId="0" fillId="0" borderId="0" xfId="0" applyNumberFormat="1" applyAlignment="1">
      <alignment horizontal="center"/>
    </xf>
    <xf numFmtId="0" fontId="13" fillId="0" borderId="4" xfId="0" applyFont="1" applyFill="1" applyBorder="1"/>
    <xf numFmtId="0" fontId="8" fillId="0" borderId="0" xfId="0" applyFont="1" applyAlignment="1">
      <alignment horizontal="right"/>
    </xf>
    <xf numFmtId="2" fontId="0" fillId="0" borderId="0" xfId="0" applyNumberFormat="1" applyAlignment="1">
      <alignment horizontal="right"/>
    </xf>
    <xf numFmtId="0" fontId="8" fillId="0" borderId="0" xfId="0" applyFont="1" applyFill="1"/>
    <xf numFmtId="0" fontId="1" fillId="0" borderId="0" xfId="0" applyFont="1" applyFill="1"/>
    <xf numFmtId="3" fontId="1" fillId="0" borderId="0" xfId="0" applyNumberFormat="1" applyFont="1" applyFill="1"/>
    <xf numFmtId="0" fontId="0" fillId="0" borderId="0" xfId="0" applyFont="1" applyFill="1"/>
    <xf numFmtId="0" fontId="13" fillId="0" borderId="0" xfId="0" applyFont="1" applyFill="1"/>
    <xf numFmtId="3" fontId="0" fillId="0" borderId="0" xfId="0" applyNumberFormat="1" applyFill="1"/>
    <xf numFmtId="0" fontId="0" fillId="0" borderId="0" xfId="0" applyFill="1"/>
    <xf numFmtId="0" fontId="40" fillId="0" borderId="0" xfId="0" applyFont="1" applyFill="1"/>
    <xf numFmtId="3" fontId="39" fillId="0" borderId="0" xfId="22" applyNumberFormat="1" applyFont="1" applyFill="1" applyAlignment="1">
      <alignment horizontal="left"/>
    </xf>
    <xf numFmtId="3" fontId="41" fillId="0" borderId="0" xfId="22" applyNumberFormat="1" applyFont="1" applyFill="1" applyAlignment="1">
      <alignment horizontal="left" indent="1"/>
    </xf>
    <xf numFmtId="165" fontId="4" fillId="0" borderId="0" xfId="22" applyNumberFormat="1" applyFont="1" applyFill="1" applyAlignment="1">
      <alignment wrapText="1"/>
    </xf>
    <xf numFmtId="168" fontId="4" fillId="0" borderId="0" xfId="22" applyNumberFormat="1" applyFont="1" applyFill="1" applyAlignment="1">
      <alignment wrapText="1"/>
    </xf>
    <xf numFmtId="3" fontId="8" fillId="0" borderId="0" xfId="22" applyNumberFormat="1" applyFont="1" applyFill="1" applyAlignment="1">
      <alignment horizontal="left" indent="1"/>
    </xf>
    <xf numFmtId="3" fontId="8" fillId="0" borderId="0" xfId="22" applyNumberFormat="1" applyFont="1" applyFill="1" applyAlignment="1">
      <alignment horizontal="left"/>
    </xf>
    <xf numFmtId="9" fontId="19" fillId="0" borderId="0" xfId="0" applyNumberFormat="1" applyFont="1" applyFill="1" applyAlignment="1">
      <alignment vertical="top" wrapText="1"/>
    </xf>
    <xf numFmtId="168" fontId="19" fillId="0" borderId="0" xfId="0" applyNumberFormat="1" applyFont="1" applyFill="1"/>
    <xf numFmtId="165" fontId="19" fillId="0" borderId="0" xfId="0" applyNumberFormat="1" applyFont="1" applyFill="1" applyAlignment="1">
      <alignment vertical="top" wrapText="1"/>
    </xf>
    <xf numFmtId="0" fontId="19" fillId="0" borderId="0" xfId="0" applyFont="1" applyFill="1" applyAlignment="1">
      <alignment vertical="top" wrapText="1"/>
    </xf>
    <xf numFmtId="0" fontId="8" fillId="0" borderId="0" xfId="22" applyFont="1" applyFill="1"/>
    <xf numFmtId="0" fontId="16" fillId="0" borderId="0" xfId="0" applyFont="1" applyFill="1" applyAlignment="1">
      <alignment horizontal="left" vertical="top" wrapText="1" indent="1"/>
    </xf>
    <xf numFmtId="0" fontId="16" fillId="0" borderId="0" xfId="0" applyFont="1" applyFill="1" applyAlignment="1">
      <alignment vertical="top" wrapText="1"/>
    </xf>
    <xf numFmtId="9" fontId="19" fillId="0" borderId="0" xfId="0" applyNumberFormat="1" applyFont="1" applyFill="1"/>
    <xf numFmtId="0" fontId="4" fillId="0" borderId="0" xfId="0" applyFont="1" applyFill="1" applyBorder="1"/>
    <xf numFmtId="0" fontId="4" fillId="0" borderId="0" xfId="0" applyFont="1" applyFill="1" applyAlignment="1">
      <alignment horizontal="left"/>
    </xf>
    <xf numFmtId="3" fontId="45" fillId="0" borderId="0" xfId="0" applyNumberFormat="1" applyFont="1" applyFill="1"/>
    <xf numFmtId="0" fontId="46" fillId="0" borderId="0" xfId="0" applyFont="1" applyFill="1"/>
    <xf numFmtId="3" fontId="46" fillId="0" borderId="0" xfId="0" applyNumberFormat="1" applyFont="1" applyFill="1"/>
    <xf numFmtId="0" fontId="43" fillId="0" borderId="0" xfId="0" applyFont="1" applyFill="1"/>
    <xf numFmtId="0" fontId="35" fillId="0" borderId="0" xfId="0" applyFont="1" applyFill="1"/>
    <xf numFmtId="0" fontId="0" fillId="0" borderId="0" xfId="0" applyFill="1" applyAlignment="1">
      <alignment wrapText="1"/>
    </xf>
    <xf numFmtId="165" fontId="0" fillId="0" borderId="0" xfId="0" applyNumberFormat="1" applyFill="1" applyAlignment="1">
      <alignment horizontal="center"/>
    </xf>
    <xf numFmtId="2" fontId="0" fillId="0" borderId="0" xfId="0" applyNumberFormat="1" applyFill="1" applyAlignment="1">
      <alignment horizontal="center"/>
    </xf>
    <xf numFmtId="2" fontId="4" fillId="0" borderId="0" xfId="73" applyNumberFormat="1" applyFill="1" applyAlignment="1">
      <alignment horizontal="center"/>
    </xf>
    <xf numFmtId="165" fontId="4" fillId="0" borderId="0" xfId="73" applyNumberFormat="1" applyFill="1" applyAlignment="1">
      <alignment horizontal="center"/>
    </xf>
    <xf numFmtId="3" fontId="0" fillId="0" borderId="0" xfId="0" applyNumberFormat="1" applyFill="1" applyAlignment="1">
      <alignment horizontal="center"/>
    </xf>
    <xf numFmtId="1" fontId="0" fillId="0" borderId="0" xfId="0" applyNumberFormat="1" applyFill="1" applyAlignment="1">
      <alignment horizontal="center"/>
    </xf>
    <xf numFmtId="169" fontId="0" fillId="0" borderId="0" xfId="1" applyNumberFormat="1" applyFont="1" applyFill="1"/>
    <xf numFmtId="2" fontId="4" fillId="0" borderId="0" xfId="73" applyNumberFormat="1" applyFill="1"/>
    <xf numFmtId="165" fontId="0" fillId="0" borderId="0" xfId="0" applyNumberFormat="1" applyFill="1"/>
    <xf numFmtId="0" fontId="1" fillId="0" borderId="19" xfId="0" applyFont="1" applyFill="1" applyBorder="1"/>
    <xf numFmtId="0" fontId="0" fillId="0" borderId="0" xfId="0" applyFill="1" applyAlignment="1">
      <alignment horizontal="right"/>
    </xf>
    <xf numFmtId="0" fontId="0" fillId="0" borderId="0" xfId="0" applyFill="1" applyAlignment="1">
      <alignment horizontal="center"/>
    </xf>
    <xf numFmtId="0" fontId="4" fillId="0" borderId="0" xfId="26" applyFont="1" applyFill="1"/>
    <xf numFmtId="0" fontId="4" fillId="0" borderId="0" xfId="19" applyFont="1" applyFill="1"/>
    <xf numFmtId="0" fontId="14" fillId="0" borderId="0" xfId="0" applyFont="1" applyFill="1"/>
    <xf numFmtId="0" fontId="13" fillId="0" borderId="4" xfId="0" applyFont="1" applyFill="1" applyBorder="1" applyAlignment="1">
      <alignment horizontal="center" vertical="center" wrapText="1"/>
    </xf>
    <xf numFmtId="0" fontId="13" fillId="0" borderId="4" xfId="0" applyFont="1" applyFill="1" applyBorder="1" applyAlignment="1">
      <alignment horizontal="right" wrapText="1"/>
    </xf>
    <xf numFmtId="0" fontId="0" fillId="0" borderId="4" xfId="0" applyFill="1" applyBorder="1" applyAlignment="1">
      <alignment horizontal="center" vertical="center" wrapText="1"/>
    </xf>
    <xf numFmtId="0" fontId="0" fillId="0" borderId="4" xfId="0" applyFont="1" applyFill="1" applyBorder="1"/>
    <xf numFmtId="0" fontId="0" fillId="0" borderId="4" xfId="0" applyFont="1" applyFill="1" applyBorder="1" applyAlignment="1">
      <alignment horizontal="left" indent="2"/>
    </xf>
    <xf numFmtId="0" fontId="13" fillId="0" borderId="4" xfId="0" applyFont="1" applyFill="1" applyBorder="1" applyAlignment="1">
      <alignment horizontal="left" indent="1"/>
    </xf>
    <xf numFmtId="0" fontId="13" fillId="0" borderId="4" xfId="0" applyFont="1" applyFill="1" applyBorder="1" applyAlignment="1">
      <alignment wrapText="1"/>
    </xf>
    <xf numFmtId="0" fontId="0" fillId="0" borderId="4" xfId="0" applyFill="1" applyBorder="1" applyAlignment="1">
      <alignment horizontal="left" indent="2"/>
    </xf>
    <xf numFmtId="0" fontId="20" fillId="0" borderId="0" xfId="0" applyFont="1" applyFill="1" applyAlignment="1">
      <alignment vertical="top" wrapText="1"/>
    </xf>
    <xf numFmtId="165" fontId="41" fillId="0" borderId="0" xfId="22" applyNumberFormat="1" applyFont="1" applyFill="1" applyAlignment="1">
      <alignment horizontal="left" indent="1"/>
    </xf>
    <xf numFmtId="0" fontId="13" fillId="0" borderId="4" xfId="0" applyFont="1" applyFill="1" applyBorder="1" applyAlignment="1">
      <alignment horizontal="left"/>
    </xf>
    <xf numFmtId="3" fontId="13" fillId="0" borderId="0" xfId="0" applyNumberFormat="1" applyFont="1" applyFill="1"/>
    <xf numFmtId="0" fontId="0" fillId="0" borderId="0" xfId="0" applyFill="1" applyAlignment="1">
      <alignment horizontal="left" indent="2"/>
    </xf>
    <xf numFmtId="0" fontId="0" fillId="0" borderId="0" xfId="0" applyFill="1" applyAlignment="1">
      <alignment horizontal="left"/>
    </xf>
    <xf numFmtId="14" fontId="8" fillId="0" borderId="0" xfId="25" applyNumberFormat="1" applyFont="1" applyFill="1" applyAlignment="1">
      <alignment vertical="top"/>
    </xf>
    <xf numFmtId="170" fontId="8" fillId="0" borderId="0" xfId="25" applyNumberFormat="1" applyFont="1" applyFill="1"/>
    <xf numFmtId="165" fontId="4" fillId="0" borderId="0" xfId="25" applyNumberFormat="1" applyFill="1"/>
    <xf numFmtId="168" fontId="4" fillId="0" borderId="0" xfId="25" applyNumberFormat="1" applyFill="1"/>
    <xf numFmtId="14" fontId="8" fillId="0" borderId="0" xfId="25" applyNumberFormat="1" applyFont="1" applyFill="1" applyAlignment="1">
      <alignment horizontal="left" vertical="top"/>
    </xf>
    <xf numFmtId="169" fontId="4" fillId="0" borderId="0" xfId="8" applyNumberFormat="1" applyFont="1" applyFill="1" applyAlignment="1">
      <alignment horizontal="center" vertical="top"/>
    </xf>
    <xf numFmtId="169" fontId="4" fillId="0" borderId="0" xfId="0" applyNumberFormat="1" applyFont="1" applyFill="1" applyAlignment="1">
      <alignment horizontal="center" vertical="top"/>
    </xf>
    <xf numFmtId="3" fontId="4" fillId="0" borderId="0" xfId="25" applyNumberFormat="1" applyFont="1" applyFill="1" applyAlignment="1">
      <alignment horizontal="center"/>
    </xf>
    <xf numFmtId="0" fontId="49" fillId="0" borderId="0" xfId="0" applyFont="1" applyFill="1" applyAlignment="1">
      <alignment horizontal="center" wrapText="1"/>
    </xf>
    <xf numFmtId="0" fontId="49" fillId="0" borderId="0" xfId="0" applyFont="1" applyFill="1" applyAlignment="1">
      <alignment wrapText="1"/>
    </xf>
    <xf numFmtId="0" fontId="48" fillId="0" borderId="0" xfId="0" applyFont="1" applyFill="1" applyAlignment="1">
      <alignment horizontal="center"/>
    </xf>
    <xf numFmtId="0" fontId="1" fillId="0" borderId="4" xfId="0" applyFont="1" applyFill="1" applyBorder="1"/>
    <xf numFmtId="167" fontId="0" fillId="0" borderId="0" xfId="0" applyNumberFormat="1"/>
    <xf numFmtId="3" fontId="4" fillId="0" borderId="0" xfId="5" applyNumberFormat="1" applyFont="1" applyFill="1" applyAlignment="1">
      <alignment horizontal="left"/>
    </xf>
    <xf numFmtId="6" fontId="0" fillId="0" borderId="0" xfId="0" applyNumberFormat="1" applyFont="1" applyFill="1"/>
    <xf numFmtId="165" fontId="0" fillId="0" borderId="0" xfId="0" applyNumberFormat="1" applyFont="1" applyFill="1" applyAlignment="1">
      <alignment horizontal="center"/>
    </xf>
    <xf numFmtId="3" fontId="4" fillId="0" borderId="0" xfId="6" applyNumberFormat="1" applyFont="1" applyFill="1" applyAlignment="1" applyProtection="1">
      <alignment horizontal="center"/>
    </xf>
    <xf numFmtId="3" fontId="4" fillId="0" borderId="2" xfId="6" applyNumberFormat="1" applyFont="1" applyFill="1" applyBorder="1" applyAlignment="1" applyProtection="1">
      <alignment horizontal="center"/>
    </xf>
    <xf numFmtId="0" fontId="4" fillId="0" borderId="2" xfId="25" applyFont="1" applyFill="1" applyBorder="1" applyAlignment="1">
      <alignment horizontal="center"/>
    </xf>
    <xf numFmtId="164" fontId="4" fillId="0" borderId="2" xfId="6" applyNumberFormat="1" applyFont="1" applyFill="1" applyBorder="1" applyAlignment="1" applyProtection="1">
      <alignment horizontal="center"/>
    </xf>
    <xf numFmtId="0" fontId="4" fillId="0" borderId="0" xfId="25" applyFont="1" applyFill="1" applyAlignment="1">
      <alignment horizontal="center"/>
    </xf>
    <xf numFmtId="164" fontId="4" fillId="0" borderId="0" xfId="6" applyNumberFormat="1" applyFont="1" applyFill="1" applyAlignment="1" applyProtection="1">
      <alignment horizontal="center"/>
    </xf>
    <xf numFmtId="3" fontId="4" fillId="0" borderId="0" xfId="5" applyNumberFormat="1" applyFont="1" applyFill="1" applyAlignment="1">
      <alignment horizontal="left" wrapText="1"/>
    </xf>
    <xf numFmtId="3" fontId="4" fillId="0" borderId="0" xfId="5" applyNumberFormat="1" applyFont="1" applyFill="1" applyAlignment="1">
      <alignment horizontal="left"/>
    </xf>
    <xf numFmtId="0" fontId="4" fillId="0" borderId="0" xfId="25" applyFill="1" applyAlignment="1">
      <alignment horizontal="left" wrapText="1"/>
    </xf>
    <xf numFmtId="0" fontId="0" fillId="0" borderId="0" xfId="0" applyFill="1" applyAlignment="1">
      <alignment horizont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Alignment="1">
      <alignment wrapText="1"/>
    </xf>
    <xf numFmtId="0" fontId="0" fillId="0" borderId="0" xfId="0" applyFill="1" applyAlignment="1">
      <alignment horizontal="left" wrapText="1"/>
    </xf>
    <xf numFmtId="1" fontId="1" fillId="0" borderId="0" xfId="0" applyNumberFormat="1" applyFont="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left" wrapText="1"/>
    </xf>
    <xf numFmtId="0" fontId="8" fillId="0" borderId="0" xfId="74" applyFont="1" applyAlignment="1">
      <alignment horizontal="center"/>
    </xf>
    <xf numFmtId="0" fontId="0" fillId="0" borderId="0" xfId="0" applyAlignment="1">
      <alignment horizontal="left" wrapText="1"/>
    </xf>
    <xf numFmtId="0" fontId="4" fillId="0" borderId="2" xfId="71" applyFont="1" applyFill="1" applyBorder="1" applyAlignment="1">
      <alignment horizontal="center"/>
    </xf>
    <xf numFmtId="0" fontId="4" fillId="0" borderId="0" xfId="71" applyFill="1" applyAlignment="1">
      <alignment wrapText="1"/>
    </xf>
    <xf numFmtId="0" fontId="4" fillId="0" borderId="0" xfId="71" applyFont="1" applyFill="1" applyAlignment="1">
      <alignment wrapText="1"/>
    </xf>
    <xf numFmtId="0" fontId="4" fillId="0" borderId="0" xfId="0" applyFont="1" applyFill="1" applyAlignment="1">
      <alignment horizontal="left" wrapText="1"/>
    </xf>
  </cellXfs>
  <cellStyles count="75">
    <cellStyle name="20% - Accent1 2" xfId="27"/>
    <cellStyle name="20% - Accent2 2" xfId="28"/>
    <cellStyle name="20% - Accent3 2" xfId="29"/>
    <cellStyle name="20% - Accent4 2" xfId="30"/>
    <cellStyle name="20% - Accent5 2" xfId="31"/>
    <cellStyle name="20% - Accent6 2" xfId="32"/>
    <cellStyle name="40% - Accent1 2" xfId="33"/>
    <cellStyle name="40% - Accent2 2" xfId="34"/>
    <cellStyle name="40% - Accent3 2" xfId="35"/>
    <cellStyle name="40% - Accent4 2" xfId="36"/>
    <cellStyle name="40% - Accent5 2" xfId="37"/>
    <cellStyle name="40% - Accent6 2" xfId="38"/>
    <cellStyle name="60% - Accent1 2" xfId="39"/>
    <cellStyle name="60% - Accent2 2" xfId="40"/>
    <cellStyle name="60% - Accent3 2" xfId="41"/>
    <cellStyle name="60% - Accent4 2" xfId="42"/>
    <cellStyle name="60% - Accent5 2" xfId="43"/>
    <cellStyle name="60% - Accent6 2" xfId="44"/>
    <cellStyle name="Accent1 2" xfId="45"/>
    <cellStyle name="Accent2 2" xfId="46"/>
    <cellStyle name="Accent3 2" xfId="47"/>
    <cellStyle name="Accent4 2" xfId="48"/>
    <cellStyle name="Accent5 2" xfId="49"/>
    <cellStyle name="Accent6 2" xfId="50"/>
    <cellStyle name="Bad 2" xfId="51"/>
    <cellStyle name="Calculation 2" xfId="52"/>
    <cellStyle name="Check Cell 2" xfId="53"/>
    <cellStyle name="Comma" xfId="1" builtinId="3"/>
    <cellStyle name="Comma 2" xfId="8"/>
    <cellStyle name="Comma 2 2" xfId="9"/>
    <cellStyle name="Comma 3" xfId="10"/>
    <cellStyle name="Comma 4" xfId="11"/>
    <cellStyle name="Comma 5" xfId="12"/>
    <cellStyle name="Currency 2" xfId="3"/>
    <cellStyle name="Explanatory Text 2" xfId="54"/>
    <cellStyle name="Good 2" xfId="55"/>
    <cellStyle name="Heading 1 2" xfId="56"/>
    <cellStyle name="Heading 2 2" xfId="57"/>
    <cellStyle name="Heading 3 2" xfId="58"/>
    <cellStyle name="Heading 4 2" xfId="59"/>
    <cellStyle name="Input 2" xfId="60"/>
    <cellStyle name="Linked Cell 2" xfId="61"/>
    <cellStyle name="Neutral 2" xfId="62"/>
    <cellStyle name="Normal" xfId="0" builtinId="0"/>
    <cellStyle name="Normal 2" xfId="4"/>
    <cellStyle name="Normal 2 2" xfId="13"/>
    <cellStyle name="Normal 2 3" xfId="22"/>
    <cellStyle name="Normal 2 4" xfId="25"/>
    <cellStyle name="Normal 2 5" xfId="70"/>
    <cellStyle name="Normal 2 5 2" xfId="71"/>
    <cellStyle name="Normal 2 6" xfId="74"/>
    <cellStyle name="Normal 3" xfId="14"/>
    <cellStyle name="Normal 3 2" xfId="23"/>
    <cellStyle name="Normal 3 3" xfId="24"/>
    <cellStyle name="Normal 3 4" xfId="72"/>
    <cellStyle name="Normal 3 4 2" xfId="73"/>
    <cellStyle name="Normal 4" xfId="15"/>
    <cellStyle name="Normal 5" xfId="16"/>
    <cellStyle name="Normal 6" xfId="17"/>
    <cellStyle name="Normal 7" xfId="18"/>
    <cellStyle name="Normal 8" xfId="63"/>
    <cellStyle name="Normal_CES 2005 all HH" xfId="26"/>
    <cellStyle name="Normal_Housing Market Indicators 2007" xfId="2"/>
    <cellStyle name="Normal_Sheet1" xfId="5"/>
    <cellStyle name="Normal_Sheet1_Housing Market Indicators 2007" xfId="6"/>
    <cellStyle name="Normal_Tables group1" xfId="19"/>
    <cellStyle name="Note 2" xfId="64"/>
    <cellStyle name="Output 2" xfId="65"/>
    <cellStyle name="Percent 2" xfId="7"/>
    <cellStyle name="Percent 2 2" xfId="66"/>
    <cellStyle name="Percent 3" xfId="20"/>
    <cellStyle name="shaded" xfId="21"/>
    <cellStyle name="Title 2" xfId="67"/>
    <cellStyle name="Total 2" xfId="68"/>
    <cellStyle name="Warning Text 2" xfId="6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alyses_Common\State_Indicators\SummaryIndicato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cromarkets.tzo.com:90/xcnetwork/webdav/Main%20folder/HPM/Information%20requests/CSI%20Analytics%20Std%206.30.05%20delive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uc631\Desktop\A-1%20Upd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Documents%20and%20Settings\ros175\My%20Documents\SON\Appendix%20tables_my%20file"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Documents%20and%20Settings\ros175\My%20Documents\SON\Data\affordability%20appendi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ros175\My%20Documents\SON\Data\Appendix%20tables%20-%20Prices,%20rents,%20incom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wnerHHdsin2008"/>
      <sheetName val="OwnerVacancies"/>
      <sheetName val="ForeclosuresStarted(Pct)"/>
      <sheetName val="ForeclosuresStarted(Num)"/>
      <sheetName val="LoansServiced"/>
      <sheetName val="Employment"/>
      <sheetName val="Unemployment"/>
      <sheetName val="Permits"/>
      <sheetName val="Census_Pop"/>
      <sheetName val="CMHPIPrices"/>
      <sheetName val="Prices"/>
      <sheetName val="Sales"/>
      <sheetName val="OtherVacant"/>
      <sheetName val="HeldOffMarket"/>
      <sheetName val="Summary"/>
    </sheetNames>
    <sheetDataSet>
      <sheetData sheetId="0"/>
      <sheetData sheetId="1"/>
      <sheetData sheetId="2"/>
      <sheetData sheetId="3"/>
      <sheetData sheetId="4"/>
      <sheetData sheetId="5"/>
      <sheetData sheetId="6"/>
      <sheetData sheetId="7"/>
      <sheetData sheetId="8">
        <row r="4">
          <cell r="B4">
            <v>39630</v>
          </cell>
          <cell r="C4">
            <v>39264</v>
          </cell>
          <cell r="D4">
            <v>38899</v>
          </cell>
          <cell r="E4">
            <v>38534</v>
          </cell>
          <cell r="F4">
            <v>38169</v>
          </cell>
          <cell r="G4">
            <v>37803</v>
          </cell>
          <cell r="H4">
            <v>37438</v>
          </cell>
          <cell r="I4">
            <v>37073</v>
          </cell>
          <cell r="J4">
            <v>36708</v>
          </cell>
          <cell r="K4" t="str">
            <v>Estimates Base</v>
          </cell>
          <cell r="L4" t="str">
            <v>Census</v>
          </cell>
        </row>
        <row r="5">
          <cell r="A5" t="str">
            <v>Northeast</v>
          </cell>
          <cell r="B5">
            <v>54924779</v>
          </cell>
          <cell r="C5">
            <v>54761693</v>
          </cell>
          <cell r="D5">
            <v>54627987</v>
          </cell>
          <cell r="E5">
            <v>54531266</v>
          </cell>
          <cell r="F5">
            <v>54459795</v>
          </cell>
          <cell r="G5">
            <v>54319451</v>
          </cell>
          <cell r="H5">
            <v>54134361</v>
          </cell>
          <cell r="I5">
            <v>53910648</v>
          </cell>
          <cell r="J5">
            <v>53666821</v>
          </cell>
          <cell r="K5">
            <v>53594797</v>
          </cell>
          <cell r="L5">
            <v>53594378</v>
          </cell>
        </row>
        <row r="6">
          <cell r="A6" t="str">
            <v>Midwest</v>
          </cell>
          <cell r="B6">
            <v>66561448</v>
          </cell>
          <cell r="C6">
            <v>66312562</v>
          </cell>
          <cell r="D6">
            <v>66047830</v>
          </cell>
          <cell r="E6">
            <v>65785263</v>
          </cell>
          <cell r="F6">
            <v>65566340</v>
          </cell>
          <cell r="G6">
            <v>65299248</v>
          </cell>
          <cell r="H6">
            <v>65058431</v>
          </cell>
          <cell r="I6">
            <v>64805832</v>
          </cell>
          <cell r="J6">
            <v>64492694</v>
          </cell>
          <cell r="K6">
            <v>64395207</v>
          </cell>
          <cell r="L6">
            <v>64392776</v>
          </cell>
        </row>
        <row r="7">
          <cell r="A7" t="str">
            <v>South</v>
          </cell>
          <cell r="B7">
            <v>111718549</v>
          </cell>
          <cell r="C7">
            <v>110335133</v>
          </cell>
          <cell r="D7">
            <v>108716622</v>
          </cell>
          <cell r="E7">
            <v>107244182</v>
          </cell>
          <cell r="F7">
            <v>105745280</v>
          </cell>
          <cell r="G7">
            <v>104339107</v>
          </cell>
          <cell r="H7">
            <v>103125430</v>
          </cell>
          <cell r="I7">
            <v>101838852</v>
          </cell>
          <cell r="J7">
            <v>100558339</v>
          </cell>
          <cell r="K7">
            <v>100235848</v>
          </cell>
          <cell r="L7">
            <v>100236820</v>
          </cell>
        </row>
        <row r="8">
          <cell r="A8" t="str">
            <v>West</v>
          </cell>
          <cell r="B8">
            <v>70854948</v>
          </cell>
          <cell r="C8">
            <v>69880944</v>
          </cell>
          <cell r="D8">
            <v>68970534</v>
          </cell>
          <cell r="E8">
            <v>67999838</v>
          </cell>
          <cell r="F8">
            <v>67120712</v>
          </cell>
          <cell r="G8">
            <v>66253108</v>
          </cell>
          <cell r="H8">
            <v>65408425</v>
          </cell>
          <cell r="I8">
            <v>64484471</v>
          </cell>
          <cell r="J8">
            <v>63454082</v>
          </cell>
          <cell r="K8">
            <v>63198750</v>
          </cell>
          <cell r="L8">
            <v>63197932</v>
          </cell>
        </row>
        <row r="9">
          <cell r="A9" t="str">
            <v>.Alabama</v>
          </cell>
          <cell r="B9">
            <v>4661900</v>
          </cell>
          <cell r="C9">
            <v>4626595</v>
          </cell>
          <cell r="D9">
            <v>4587564</v>
          </cell>
          <cell r="E9">
            <v>4537299</v>
          </cell>
          <cell r="F9">
            <v>4506574</v>
          </cell>
          <cell r="G9">
            <v>4486598</v>
          </cell>
          <cell r="H9">
            <v>4469906</v>
          </cell>
          <cell r="I9">
            <v>4462832</v>
          </cell>
          <cell r="J9">
            <v>4451687</v>
          </cell>
          <cell r="K9">
            <v>4447355</v>
          </cell>
          <cell r="L9">
            <v>4447100</v>
          </cell>
        </row>
        <row r="10">
          <cell r="A10" t="str">
            <v>.Alaska</v>
          </cell>
          <cell r="B10">
            <v>686293</v>
          </cell>
          <cell r="C10">
            <v>681111</v>
          </cell>
          <cell r="D10">
            <v>676301</v>
          </cell>
          <cell r="E10">
            <v>668625</v>
          </cell>
          <cell r="F10">
            <v>660975</v>
          </cell>
          <cell r="G10">
            <v>650426</v>
          </cell>
          <cell r="H10">
            <v>642391</v>
          </cell>
          <cell r="I10">
            <v>633160</v>
          </cell>
          <cell r="J10">
            <v>627428</v>
          </cell>
          <cell r="K10">
            <v>626931</v>
          </cell>
          <cell r="L10">
            <v>626932</v>
          </cell>
        </row>
        <row r="11">
          <cell r="A11" t="str">
            <v>.Arizona</v>
          </cell>
          <cell r="B11">
            <v>6500180</v>
          </cell>
          <cell r="C11">
            <v>6353421</v>
          </cell>
          <cell r="D11">
            <v>6178251</v>
          </cell>
          <cell r="E11">
            <v>5961239</v>
          </cell>
          <cell r="F11">
            <v>5750475</v>
          </cell>
          <cell r="G11">
            <v>5585512</v>
          </cell>
          <cell r="H11">
            <v>5449195</v>
          </cell>
          <cell r="I11">
            <v>5303632</v>
          </cell>
          <cell r="J11">
            <v>5166810</v>
          </cell>
          <cell r="K11">
            <v>5130607</v>
          </cell>
          <cell r="L11">
            <v>5130632</v>
          </cell>
        </row>
        <row r="12">
          <cell r="A12" t="str">
            <v>.Arkansas</v>
          </cell>
          <cell r="B12">
            <v>2855390</v>
          </cell>
          <cell r="C12">
            <v>2830557</v>
          </cell>
          <cell r="D12">
            <v>2804199</v>
          </cell>
          <cell r="E12">
            <v>2768918</v>
          </cell>
          <cell r="F12">
            <v>2740191</v>
          </cell>
          <cell r="G12">
            <v>2717909</v>
          </cell>
          <cell r="H12">
            <v>2701889</v>
          </cell>
          <cell r="I12">
            <v>2689601</v>
          </cell>
          <cell r="J12">
            <v>2678217</v>
          </cell>
          <cell r="K12">
            <v>2673386</v>
          </cell>
          <cell r="L12">
            <v>2673400</v>
          </cell>
        </row>
        <row r="13">
          <cell r="A13" t="str">
            <v>.California</v>
          </cell>
          <cell r="B13">
            <v>36756666</v>
          </cell>
          <cell r="C13">
            <v>36377534</v>
          </cell>
          <cell r="D13">
            <v>36121296</v>
          </cell>
          <cell r="E13">
            <v>35885415</v>
          </cell>
          <cell r="F13">
            <v>35629666</v>
          </cell>
          <cell r="G13">
            <v>35307398</v>
          </cell>
          <cell r="H13">
            <v>34916495</v>
          </cell>
          <cell r="I13">
            <v>34507030</v>
          </cell>
          <cell r="J13">
            <v>33998767</v>
          </cell>
          <cell r="K13">
            <v>33871650</v>
          </cell>
          <cell r="L13">
            <v>33871648</v>
          </cell>
        </row>
        <row r="14">
          <cell r="A14" t="str">
            <v>.Colorado</v>
          </cell>
          <cell r="B14">
            <v>4939456</v>
          </cell>
          <cell r="C14">
            <v>4842770</v>
          </cell>
          <cell r="D14">
            <v>4751474</v>
          </cell>
          <cell r="E14">
            <v>4662734</v>
          </cell>
          <cell r="F14">
            <v>4600050</v>
          </cell>
          <cell r="G14">
            <v>4548339</v>
          </cell>
          <cell r="H14">
            <v>4503156</v>
          </cell>
          <cell r="I14">
            <v>4431918</v>
          </cell>
          <cell r="J14">
            <v>4327788</v>
          </cell>
          <cell r="K14">
            <v>4302015</v>
          </cell>
          <cell r="L14">
            <v>4301261</v>
          </cell>
        </row>
        <row r="15">
          <cell r="A15" t="str">
            <v>.Connecticut</v>
          </cell>
          <cell r="B15">
            <v>3501252</v>
          </cell>
          <cell r="C15">
            <v>3489868</v>
          </cell>
          <cell r="D15">
            <v>3487896</v>
          </cell>
          <cell r="E15">
            <v>3478714</v>
          </cell>
          <cell r="F15">
            <v>3475351</v>
          </cell>
          <cell r="G15">
            <v>3467932</v>
          </cell>
          <cell r="H15">
            <v>3448261</v>
          </cell>
          <cell r="I15">
            <v>3428208</v>
          </cell>
          <cell r="J15">
            <v>3411714</v>
          </cell>
          <cell r="K15">
            <v>3405604</v>
          </cell>
          <cell r="L15">
            <v>3405565</v>
          </cell>
        </row>
        <row r="16">
          <cell r="A16" t="str">
            <v>.Delaware</v>
          </cell>
          <cell r="B16">
            <v>873092</v>
          </cell>
          <cell r="C16">
            <v>861953</v>
          </cell>
          <cell r="D16">
            <v>850366</v>
          </cell>
          <cell r="E16">
            <v>838519</v>
          </cell>
          <cell r="F16">
            <v>825682</v>
          </cell>
          <cell r="G16">
            <v>814262</v>
          </cell>
          <cell r="H16">
            <v>803774</v>
          </cell>
          <cell r="I16">
            <v>794498</v>
          </cell>
          <cell r="J16">
            <v>786404</v>
          </cell>
          <cell r="K16">
            <v>783595</v>
          </cell>
          <cell r="L16">
            <v>783600</v>
          </cell>
        </row>
        <row r="17">
          <cell r="A17" t="str">
            <v>.District of Columbia</v>
          </cell>
          <cell r="B17">
            <v>591833</v>
          </cell>
          <cell r="C17">
            <v>587868</v>
          </cell>
          <cell r="D17">
            <v>585419</v>
          </cell>
          <cell r="E17">
            <v>582049</v>
          </cell>
          <cell r="F17">
            <v>579521</v>
          </cell>
          <cell r="G17">
            <v>577371</v>
          </cell>
          <cell r="H17">
            <v>579112</v>
          </cell>
          <cell r="I17">
            <v>577678</v>
          </cell>
          <cell r="J17">
            <v>571723</v>
          </cell>
          <cell r="K17">
            <v>572053</v>
          </cell>
          <cell r="L17">
            <v>572059</v>
          </cell>
        </row>
        <row r="18">
          <cell r="A18" t="str">
            <v>.Florida</v>
          </cell>
          <cell r="B18">
            <v>18328340</v>
          </cell>
          <cell r="C18">
            <v>18199526</v>
          </cell>
          <cell r="D18">
            <v>18019093</v>
          </cell>
          <cell r="E18">
            <v>17702476</v>
          </cell>
          <cell r="F18">
            <v>17313811</v>
          </cell>
          <cell r="G18">
            <v>16937337</v>
          </cell>
          <cell r="H18">
            <v>16652679</v>
          </cell>
          <cell r="I18">
            <v>16340734</v>
          </cell>
          <cell r="J18">
            <v>16047246</v>
          </cell>
          <cell r="K18">
            <v>15982813</v>
          </cell>
          <cell r="L18">
            <v>15982378</v>
          </cell>
        </row>
        <row r="19">
          <cell r="A19" t="str">
            <v>.Georgia</v>
          </cell>
          <cell r="B19">
            <v>9685744</v>
          </cell>
          <cell r="C19">
            <v>9523297</v>
          </cell>
          <cell r="D19">
            <v>9318715</v>
          </cell>
          <cell r="E19">
            <v>9093958</v>
          </cell>
          <cell r="F19">
            <v>8910741</v>
          </cell>
          <cell r="G19">
            <v>8732924</v>
          </cell>
          <cell r="H19">
            <v>8583674</v>
          </cell>
          <cell r="I19">
            <v>8418592</v>
          </cell>
          <cell r="J19">
            <v>8230053</v>
          </cell>
          <cell r="K19">
            <v>8186812</v>
          </cell>
          <cell r="L19">
            <v>8186453</v>
          </cell>
        </row>
        <row r="20">
          <cell r="A20" t="str">
            <v>.Hawaii</v>
          </cell>
          <cell r="B20">
            <v>1288198</v>
          </cell>
          <cell r="C20">
            <v>1277356</v>
          </cell>
          <cell r="D20">
            <v>1275264</v>
          </cell>
          <cell r="E20">
            <v>1264468</v>
          </cell>
          <cell r="F20">
            <v>1251532</v>
          </cell>
          <cell r="G20">
            <v>1238333</v>
          </cell>
          <cell r="H20">
            <v>1227391</v>
          </cell>
          <cell r="I20">
            <v>1217955</v>
          </cell>
          <cell r="J20">
            <v>1211479</v>
          </cell>
          <cell r="K20">
            <v>1211538</v>
          </cell>
          <cell r="L20">
            <v>1211537</v>
          </cell>
        </row>
        <row r="21">
          <cell r="A21" t="str">
            <v>.Idaho</v>
          </cell>
          <cell r="B21">
            <v>1523816</v>
          </cell>
          <cell r="C21">
            <v>1496145</v>
          </cell>
          <cell r="D21">
            <v>1461183</v>
          </cell>
          <cell r="E21">
            <v>1424127</v>
          </cell>
          <cell r="F21">
            <v>1390329</v>
          </cell>
          <cell r="G21">
            <v>1363010</v>
          </cell>
          <cell r="H21">
            <v>1341408</v>
          </cell>
          <cell r="I21">
            <v>1320732</v>
          </cell>
          <cell r="J21">
            <v>1299474</v>
          </cell>
          <cell r="K21">
            <v>1293955</v>
          </cell>
          <cell r="L21">
            <v>1293953</v>
          </cell>
        </row>
        <row r="22">
          <cell r="A22" t="str">
            <v>.Illinois</v>
          </cell>
          <cell r="B22">
            <v>12901563</v>
          </cell>
          <cell r="C22">
            <v>12825809</v>
          </cell>
          <cell r="D22">
            <v>12759673</v>
          </cell>
          <cell r="E22">
            <v>12704063</v>
          </cell>
          <cell r="F22">
            <v>12665718</v>
          </cell>
          <cell r="G22">
            <v>12611047</v>
          </cell>
          <cell r="H22">
            <v>12565228</v>
          </cell>
          <cell r="I22">
            <v>12510596</v>
          </cell>
          <cell r="J22">
            <v>12437888</v>
          </cell>
          <cell r="K22">
            <v>12419660</v>
          </cell>
          <cell r="L22">
            <v>12419293</v>
          </cell>
        </row>
        <row r="23">
          <cell r="A23" t="str">
            <v>.Indiana</v>
          </cell>
          <cell r="B23">
            <v>6376792</v>
          </cell>
          <cell r="C23">
            <v>6335862</v>
          </cell>
          <cell r="D23">
            <v>6294124</v>
          </cell>
          <cell r="E23">
            <v>6248569</v>
          </cell>
          <cell r="F23">
            <v>6210801</v>
          </cell>
          <cell r="G23">
            <v>6178828</v>
          </cell>
          <cell r="H23">
            <v>6146974</v>
          </cell>
          <cell r="I23">
            <v>6123942</v>
          </cell>
          <cell r="J23">
            <v>6091392</v>
          </cell>
          <cell r="K23">
            <v>6080522</v>
          </cell>
          <cell r="L23">
            <v>6080485</v>
          </cell>
        </row>
        <row r="24">
          <cell r="A24" t="str">
            <v>.Iowa</v>
          </cell>
          <cell r="B24">
            <v>3002555</v>
          </cell>
          <cell r="C24">
            <v>2983360</v>
          </cell>
          <cell r="D24">
            <v>2967270</v>
          </cell>
          <cell r="E24">
            <v>2951775</v>
          </cell>
          <cell r="F24">
            <v>2942739</v>
          </cell>
          <cell r="G24">
            <v>2933407</v>
          </cell>
          <cell r="H24">
            <v>2929395</v>
          </cell>
          <cell r="I24">
            <v>2929294</v>
          </cell>
          <cell r="J24">
            <v>2928046</v>
          </cell>
          <cell r="K24">
            <v>2926381</v>
          </cell>
          <cell r="L24">
            <v>2926324</v>
          </cell>
        </row>
        <row r="25">
          <cell r="A25" t="str">
            <v>.Kansas</v>
          </cell>
          <cell r="B25">
            <v>2802134</v>
          </cell>
          <cell r="C25">
            <v>2777382</v>
          </cell>
          <cell r="D25">
            <v>2756267</v>
          </cell>
          <cell r="E25">
            <v>2742204</v>
          </cell>
          <cell r="F25">
            <v>2731069</v>
          </cell>
          <cell r="G25">
            <v>2722070</v>
          </cell>
          <cell r="H25">
            <v>2712561</v>
          </cell>
          <cell r="I25">
            <v>2701346</v>
          </cell>
          <cell r="J25">
            <v>2692681</v>
          </cell>
          <cell r="K25">
            <v>2688816</v>
          </cell>
          <cell r="L25">
            <v>2688418</v>
          </cell>
        </row>
        <row r="26">
          <cell r="A26" t="str">
            <v>.Kentucky</v>
          </cell>
          <cell r="B26">
            <v>4269245</v>
          </cell>
          <cell r="C26">
            <v>4236308</v>
          </cell>
          <cell r="D26">
            <v>4199440</v>
          </cell>
          <cell r="E26">
            <v>4165958</v>
          </cell>
          <cell r="F26">
            <v>4135567</v>
          </cell>
          <cell r="G26">
            <v>4110922</v>
          </cell>
          <cell r="H26">
            <v>4086754</v>
          </cell>
          <cell r="I26">
            <v>4066442</v>
          </cell>
          <cell r="J26">
            <v>4048831</v>
          </cell>
          <cell r="K26">
            <v>4042284</v>
          </cell>
          <cell r="L26">
            <v>4041769</v>
          </cell>
        </row>
        <row r="27">
          <cell r="A27" t="str">
            <v>.Louisiana</v>
          </cell>
          <cell r="B27">
            <v>4410796</v>
          </cell>
          <cell r="C27">
            <v>4373310</v>
          </cell>
          <cell r="D27">
            <v>4243634</v>
          </cell>
          <cell r="E27">
            <v>4495627</v>
          </cell>
          <cell r="F27">
            <v>4487830</v>
          </cell>
          <cell r="G27">
            <v>4473558</v>
          </cell>
          <cell r="H27">
            <v>4465215</v>
          </cell>
          <cell r="I27">
            <v>4460395</v>
          </cell>
          <cell r="J27">
            <v>4468879</v>
          </cell>
          <cell r="K27">
            <v>4468968</v>
          </cell>
          <cell r="L27">
            <v>4468976</v>
          </cell>
        </row>
        <row r="28">
          <cell r="A28" t="str">
            <v>.Maine</v>
          </cell>
          <cell r="B28">
            <v>1316456</v>
          </cell>
          <cell r="C28">
            <v>1315398</v>
          </cell>
          <cell r="D28">
            <v>1313355</v>
          </cell>
          <cell r="E28">
            <v>1311044</v>
          </cell>
          <cell r="F28">
            <v>1307904</v>
          </cell>
          <cell r="G28">
            <v>1302729</v>
          </cell>
          <cell r="H28">
            <v>1293667</v>
          </cell>
          <cell r="I28">
            <v>1284663</v>
          </cell>
          <cell r="J28">
            <v>1277179</v>
          </cell>
          <cell r="K28">
            <v>1274922</v>
          </cell>
          <cell r="L28">
            <v>1274923</v>
          </cell>
        </row>
        <row r="29">
          <cell r="A29" t="str">
            <v>.Maryland</v>
          </cell>
          <cell r="B29">
            <v>5633597</v>
          </cell>
          <cell r="C29">
            <v>5618899</v>
          </cell>
          <cell r="D29">
            <v>5602258</v>
          </cell>
          <cell r="E29">
            <v>5575552</v>
          </cell>
          <cell r="F29">
            <v>5538989</v>
          </cell>
          <cell r="G29">
            <v>5495009</v>
          </cell>
          <cell r="H29">
            <v>5439327</v>
          </cell>
          <cell r="I29">
            <v>5375659</v>
          </cell>
          <cell r="J29">
            <v>5310451</v>
          </cell>
          <cell r="K29">
            <v>5296516</v>
          </cell>
          <cell r="L29">
            <v>5296486</v>
          </cell>
        </row>
        <row r="30">
          <cell r="A30" t="str">
            <v>.Massachusetts</v>
          </cell>
          <cell r="B30">
            <v>6497967</v>
          </cell>
          <cell r="C30">
            <v>6467915</v>
          </cell>
          <cell r="D30">
            <v>6443424</v>
          </cell>
          <cell r="E30">
            <v>6434343</v>
          </cell>
          <cell r="F30">
            <v>6437414</v>
          </cell>
          <cell r="G30">
            <v>6441440</v>
          </cell>
          <cell r="H30">
            <v>6433043</v>
          </cell>
          <cell r="I30">
            <v>6407269</v>
          </cell>
          <cell r="J30">
            <v>6362583</v>
          </cell>
          <cell r="K30">
            <v>6349113</v>
          </cell>
          <cell r="L30">
            <v>6349097</v>
          </cell>
        </row>
        <row r="31">
          <cell r="A31" t="str">
            <v>.Michigan</v>
          </cell>
          <cell r="B31">
            <v>10003422</v>
          </cell>
          <cell r="C31">
            <v>10049790</v>
          </cell>
          <cell r="D31">
            <v>10083878</v>
          </cell>
          <cell r="E31">
            <v>10093266</v>
          </cell>
          <cell r="F31">
            <v>10090280</v>
          </cell>
          <cell r="G31">
            <v>10065881</v>
          </cell>
          <cell r="H31">
            <v>10037303</v>
          </cell>
          <cell r="I31">
            <v>10004341</v>
          </cell>
          <cell r="J31">
            <v>9955146</v>
          </cell>
          <cell r="K31">
            <v>9938492</v>
          </cell>
          <cell r="L31">
            <v>9938444</v>
          </cell>
        </row>
        <row r="32">
          <cell r="A32" t="str">
            <v>.Minnesota</v>
          </cell>
          <cell r="B32">
            <v>5220393</v>
          </cell>
          <cell r="C32">
            <v>5182360</v>
          </cell>
          <cell r="D32">
            <v>5143134</v>
          </cell>
          <cell r="E32">
            <v>5104890</v>
          </cell>
          <cell r="F32">
            <v>5078014</v>
          </cell>
          <cell r="G32">
            <v>5046708</v>
          </cell>
          <cell r="H32">
            <v>5016643</v>
          </cell>
          <cell r="I32">
            <v>4982339</v>
          </cell>
          <cell r="J32">
            <v>4933787</v>
          </cell>
          <cell r="K32">
            <v>4919492</v>
          </cell>
          <cell r="L32">
            <v>4919479</v>
          </cell>
        </row>
        <row r="33">
          <cell r="A33" t="str">
            <v>.Mississippi</v>
          </cell>
          <cell r="B33">
            <v>2938618</v>
          </cell>
          <cell r="C33">
            <v>2921030</v>
          </cell>
          <cell r="D33">
            <v>2896713</v>
          </cell>
          <cell r="E33">
            <v>2898209</v>
          </cell>
          <cell r="F33">
            <v>2884596</v>
          </cell>
          <cell r="G33">
            <v>2866711</v>
          </cell>
          <cell r="H33">
            <v>2858013</v>
          </cell>
          <cell r="I33">
            <v>2853061</v>
          </cell>
          <cell r="J33">
            <v>2848293</v>
          </cell>
          <cell r="K33">
            <v>2844666</v>
          </cell>
          <cell r="L33">
            <v>2844658</v>
          </cell>
        </row>
        <row r="34">
          <cell r="A34" t="str">
            <v>.Missouri</v>
          </cell>
          <cell r="B34">
            <v>5911605</v>
          </cell>
          <cell r="C34">
            <v>5878399</v>
          </cell>
          <cell r="D34">
            <v>5832977</v>
          </cell>
          <cell r="E34">
            <v>5785130</v>
          </cell>
          <cell r="F34">
            <v>5742650</v>
          </cell>
          <cell r="G34">
            <v>5704639</v>
          </cell>
          <cell r="H34">
            <v>5675641</v>
          </cell>
          <cell r="I34">
            <v>5641994</v>
          </cell>
          <cell r="J34">
            <v>5605868</v>
          </cell>
          <cell r="K34">
            <v>5596678</v>
          </cell>
          <cell r="L34">
            <v>5595211</v>
          </cell>
        </row>
        <row r="35">
          <cell r="A35" t="str">
            <v>.Montana</v>
          </cell>
          <cell r="B35">
            <v>967440</v>
          </cell>
          <cell r="C35">
            <v>956624</v>
          </cell>
          <cell r="D35">
            <v>945428</v>
          </cell>
          <cell r="E35">
            <v>934888</v>
          </cell>
          <cell r="F35">
            <v>925969</v>
          </cell>
          <cell r="G35">
            <v>916754</v>
          </cell>
          <cell r="H35">
            <v>909859</v>
          </cell>
          <cell r="I35">
            <v>905854</v>
          </cell>
          <cell r="J35">
            <v>903283</v>
          </cell>
          <cell r="K35">
            <v>902190</v>
          </cell>
          <cell r="L35">
            <v>902195</v>
          </cell>
        </row>
        <row r="36">
          <cell r="A36" t="str">
            <v>.Nebraska</v>
          </cell>
          <cell r="B36">
            <v>1783432</v>
          </cell>
          <cell r="C36">
            <v>1769473</v>
          </cell>
          <cell r="D36">
            <v>1759779</v>
          </cell>
          <cell r="E36">
            <v>1751069</v>
          </cell>
          <cell r="F36">
            <v>1741450</v>
          </cell>
          <cell r="G36">
            <v>1732873</v>
          </cell>
          <cell r="H36">
            <v>1724236</v>
          </cell>
          <cell r="I36">
            <v>1717705</v>
          </cell>
          <cell r="J36">
            <v>1713194</v>
          </cell>
          <cell r="K36">
            <v>1711266</v>
          </cell>
          <cell r="L36">
            <v>1711263</v>
          </cell>
        </row>
        <row r="37">
          <cell r="A37" t="str">
            <v>.Nevada</v>
          </cell>
          <cell r="B37">
            <v>2600167</v>
          </cell>
          <cell r="C37">
            <v>2554344</v>
          </cell>
          <cell r="D37">
            <v>2484196</v>
          </cell>
          <cell r="E37">
            <v>2401671</v>
          </cell>
          <cell r="F37">
            <v>2323875</v>
          </cell>
          <cell r="G37">
            <v>2233830</v>
          </cell>
          <cell r="H37">
            <v>2164518</v>
          </cell>
          <cell r="I37">
            <v>2093973</v>
          </cell>
          <cell r="J37">
            <v>2018244</v>
          </cell>
          <cell r="K37">
            <v>1998257</v>
          </cell>
          <cell r="L37">
            <v>1998257</v>
          </cell>
        </row>
        <row r="38">
          <cell r="A38" t="str">
            <v>.New Hampshire</v>
          </cell>
          <cell r="B38">
            <v>1315809</v>
          </cell>
          <cell r="C38">
            <v>1312256</v>
          </cell>
          <cell r="D38">
            <v>1308824</v>
          </cell>
          <cell r="E38">
            <v>1300530</v>
          </cell>
          <cell r="F38">
            <v>1292064</v>
          </cell>
          <cell r="G38">
            <v>1281260</v>
          </cell>
          <cell r="H38">
            <v>1270701</v>
          </cell>
          <cell r="I38">
            <v>1256625</v>
          </cell>
          <cell r="J38">
            <v>1240361</v>
          </cell>
          <cell r="K38">
            <v>1235785</v>
          </cell>
          <cell r="L38">
            <v>1235786</v>
          </cell>
        </row>
        <row r="39">
          <cell r="A39" t="str">
            <v>.New Jersey</v>
          </cell>
          <cell r="B39">
            <v>8682661</v>
          </cell>
          <cell r="C39">
            <v>8653126</v>
          </cell>
          <cell r="D39">
            <v>8640218</v>
          </cell>
          <cell r="E39">
            <v>8634657</v>
          </cell>
          <cell r="F39">
            <v>8620770</v>
          </cell>
          <cell r="G39">
            <v>8589562</v>
          </cell>
          <cell r="H39">
            <v>8547410</v>
          </cell>
          <cell r="I39">
            <v>8490942</v>
          </cell>
          <cell r="J39">
            <v>8430913</v>
          </cell>
          <cell r="K39">
            <v>8414360</v>
          </cell>
          <cell r="L39">
            <v>8414350</v>
          </cell>
        </row>
        <row r="40">
          <cell r="A40" t="str">
            <v>.New Mexico</v>
          </cell>
          <cell r="B40">
            <v>1984356</v>
          </cell>
          <cell r="C40">
            <v>1964402</v>
          </cell>
          <cell r="D40">
            <v>1937916</v>
          </cell>
          <cell r="E40">
            <v>1912884</v>
          </cell>
          <cell r="F40">
            <v>1889266</v>
          </cell>
          <cell r="G40">
            <v>1867909</v>
          </cell>
          <cell r="H40">
            <v>1848986</v>
          </cell>
          <cell r="I40">
            <v>1828330</v>
          </cell>
          <cell r="J40">
            <v>1820704</v>
          </cell>
          <cell r="K40">
            <v>1819041</v>
          </cell>
          <cell r="L40">
            <v>1819046</v>
          </cell>
        </row>
        <row r="41">
          <cell r="A41" t="str">
            <v>.New York</v>
          </cell>
          <cell r="B41">
            <v>19490297</v>
          </cell>
          <cell r="C41">
            <v>19429316</v>
          </cell>
          <cell r="D41">
            <v>19367028</v>
          </cell>
          <cell r="E41">
            <v>19336376</v>
          </cell>
          <cell r="F41">
            <v>19301113</v>
          </cell>
          <cell r="G41">
            <v>19230877</v>
          </cell>
          <cell r="H41">
            <v>19161573</v>
          </cell>
          <cell r="I41">
            <v>19088220</v>
          </cell>
          <cell r="J41">
            <v>18998429</v>
          </cell>
          <cell r="K41">
            <v>18976816</v>
          </cell>
          <cell r="L41">
            <v>18976457</v>
          </cell>
        </row>
        <row r="42">
          <cell r="A42" t="str">
            <v>.North Carolina</v>
          </cell>
          <cell r="B42">
            <v>9222414</v>
          </cell>
          <cell r="C42">
            <v>9041594</v>
          </cell>
          <cell r="D42">
            <v>8845343</v>
          </cell>
          <cell r="E42">
            <v>8661061</v>
          </cell>
          <cell r="F42">
            <v>8523199</v>
          </cell>
          <cell r="G42">
            <v>8409660</v>
          </cell>
          <cell r="H42">
            <v>8311263</v>
          </cell>
          <cell r="I42">
            <v>8199913</v>
          </cell>
          <cell r="J42">
            <v>8078824</v>
          </cell>
          <cell r="K42">
            <v>8046500</v>
          </cell>
          <cell r="L42">
            <v>8049313</v>
          </cell>
        </row>
        <row r="43">
          <cell r="A43" t="str">
            <v>.North Dakota</v>
          </cell>
          <cell r="B43">
            <v>641481</v>
          </cell>
          <cell r="C43">
            <v>637904</v>
          </cell>
          <cell r="D43">
            <v>636453</v>
          </cell>
          <cell r="E43">
            <v>635222</v>
          </cell>
          <cell r="F43">
            <v>636196</v>
          </cell>
          <cell r="G43">
            <v>632689</v>
          </cell>
          <cell r="H43">
            <v>633521</v>
          </cell>
          <cell r="I43">
            <v>636211</v>
          </cell>
          <cell r="J43">
            <v>641183</v>
          </cell>
          <cell r="K43">
            <v>642195</v>
          </cell>
          <cell r="L43">
            <v>642200</v>
          </cell>
        </row>
        <row r="44">
          <cell r="A44" t="str">
            <v>.Ohio</v>
          </cell>
          <cell r="B44">
            <v>11485910</v>
          </cell>
          <cell r="C44">
            <v>11477641</v>
          </cell>
          <cell r="D44">
            <v>11458390</v>
          </cell>
          <cell r="E44">
            <v>11450954</v>
          </cell>
          <cell r="F44">
            <v>11445095</v>
          </cell>
          <cell r="G44">
            <v>11430306</v>
          </cell>
          <cell r="H44">
            <v>11410582</v>
          </cell>
          <cell r="I44">
            <v>11391298</v>
          </cell>
          <cell r="J44">
            <v>11363719</v>
          </cell>
          <cell r="K44">
            <v>11353160</v>
          </cell>
          <cell r="L44">
            <v>11353140</v>
          </cell>
        </row>
        <row r="45">
          <cell r="A45" t="str">
            <v>.Oklahoma</v>
          </cell>
          <cell r="B45">
            <v>3642361</v>
          </cell>
          <cell r="C45">
            <v>3608123</v>
          </cell>
          <cell r="D45">
            <v>3568132</v>
          </cell>
          <cell r="E45">
            <v>3530087</v>
          </cell>
          <cell r="F45">
            <v>3511960</v>
          </cell>
          <cell r="G45">
            <v>3496157</v>
          </cell>
          <cell r="H45">
            <v>3482946</v>
          </cell>
          <cell r="I45">
            <v>3463387</v>
          </cell>
          <cell r="J45">
            <v>3453861</v>
          </cell>
          <cell r="K45">
            <v>3450640</v>
          </cell>
          <cell r="L45">
            <v>3450654</v>
          </cell>
        </row>
        <row r="46">
          <cell r="A46" t="str">
            <v>.Oregon</v>
          </cell>
          <cell r="B46">
            <v>3790060</v>
          </cell>
          <cell r="C46">
            <v>3735549</v>
          </cell>
          <cell r="D46">
            <v>3680968</v>
          </cell>
          <cell r="E46">
            <v>3621939</v>
          </cell>
          <cell r="F46">
            <v>3576262</v>
          </cell>
          <cell r="G46">
            <v>3551877</v>
          </cell>
          <cell r="H46">
            <v>3517982</v>
          </cell>
          <cell r="I46">
            <v>3470716</v>
          </cell>
          <cell r="J46">
            <v>3430828</v>
          </cell>
          <cell r="K46">
            <v>3421437</v>
          </cell>
          <cell r="L46">
            <v>3421399</v>
          </cell>
        </row>
        <row r="47">
          <cell r="A47" t="str">
            <v>.Pennsylvania</v>
          </cell>
          <cell r="B47">
            <v>12448279</v>
          </cell>
          <cell r="C47">
            <v>12419930</v>
          </cell>
          <cell r="D47">
            <v>12388055</v>
          </cell>
          <cell r="E47">
            <v>12351881</v>
          </cell>
          <cell r="F47">
            <v>12335652</v>
          </cell>
          <cell r="G47">
            <v>12317647</v>
          </cell>
          <cell r="H47">
            <v>12298775</v>
          </cell>
          <cell r="I47">
            <v>12284522</v>
          </cell>
          <cell r="J47">
            <v>12285041</v>
          </cell>
          <cell r="K47">
            <v>12281052</v>
          </cell>
          <cell r="L47">
            <v>12281054</v>
          </cell>
        </row>
        <row r="48">
          <cell r="A48" t="str">
            <v>.Rhode Island</v>
          </cell>
          <cell r="B48">
            <v>1050788</v>
          </cell>
          <cell r="C48">
            <v>1053136</v>
          </cell>
          <cell r="D48">
            <v>1058991</v>
          </cell>
          <cell r="E48">
            <v>1064439</v>
          </cell>
          <cell r="F48">
            <v>1071095</v>
          </cell>
          <cell r="G48">
            <v>1071302</v>
          </cell>
          <cell r="H48">
            <v>1065937</v>
          </cell>
          <cell r="I48">
            <v>1058065</v>
          </cell>
          <cell r="J48">
            <v>1050725</v>
          </cell>
          <cell r="K48">
            <v>1048319</v>
          </cell>
          <cell r="L48">
            <v>1048319</v>
          </cell>
        </row>
        <row r="49">
          <cell r="A49" t="str">
            <v>.South Carolina</v>
          </cell>
          <cell r="B49">
            <v>4479800</v>
          </cell>
          <cell r="C49">
            <v>4404914</v>
          </cell>
          <cell r="D49">
            <v>4324799</v>
          </cell>
          <cell r="E49">
            <v>4249385</v>
          </cell>
          <cell r="F49">
            <v>4196799</v>
          </cell>
          <cell r="G49">
            <v>4143420</v>
          </cell>
          <cell r="H49">
            <v>4102211</v>
          </cell>
          <cell r="I49">
            <v>4061844</v>
          </cell>
          <cell r="J49">
            <v>4023396</v>
          </cell>
          <cell r="K49">
            <v>4011809</v>
          </cell>
          <cell r="L49">
            <v>4012012</v>
          </cell>
        </row>
        <row r="50">
          <cell r="A50" t="str">
            <v>.South Dakota</v>
          </cell>
          <cell r="B50">
            <v>804194</v>
          </cell>
          <cell r="C50">
            <v>795689</v>
          </cell>
          <cell r="D50">
            <v>787380</v>
          </cell>
          <cell r="E50">
            <v>779315</v>
          </cell>
          <cell r="F50">
            <v>773539</v>
          </cell>
          <cell r="G50">
            <v>766440</v>
          </cell>
          <cell r="H50">
            <v>761709</v>
          </cell>
          <cell r="I50">
            <v>758705</v>
          </cell>
          <cell r="J50">
            <v>755657</v>
          </cell>
          <cell r="K50">
            <v>754837</v>
          </cell>
          <cell r="L50">
            <v>754844</v>
          </cell>
        </row>
        <row r="51">
          <cell r="A51" t="str">
            <v>.Tennessee</v>
          </cell>
          <cell r="B51">
            <v>6214888</v>
          </cell>
          <cell r="C51">
            <v>6149116</v>
          </cell>
          <cell r="D51">
            <v>6068306</v>
          </cell>
          <cell r="E51">
            <v>5983211</v>
          </cell>
          <cell r="F51">
            <v>5906936</v>
          </cell>
          <cell r="G51">
            <v>5849563</v>
          </cell>
          <cell r="H51">
            <v>5799093</v>
          </cell>
          <cell r="I51">
            <v>5753497</v>
          </cell>
          <cell r="J51">
            <v>5703094</v>
          </cell>
          <cell r="K51">
            <v>5689270</v>
          </cell>
          <cell r="L51">
            <v>5689283</v>
          </cell>
        </row>
        <row r="52">
          <cell r="A52" t="str">
            <v>.Texas</v>
          </cell>
          <cell r="B52">
            <v>24326974</v>
          </cell>
          <cell r="C52">
            <v>23843432</v>
          </cell>
          <cell r="D52">
            <v>23367534</v>
          </cell>
          <cell r="E52">
            <v>22811128</v>
          </cell>
          <cell r="F52">
            <v>22424884</v>
          </cell>
          <cell r="G52">
            <v>22062119</v>
          </cell>
          <cell r="H52">
            <v>21713397</v>
          </cell>
          <cell r="I52">
            <v>21333928</v>
          </cell>
          <cell r="J52">
            <v>20946049</v>
          </cell>
          <cell r="K52">
            <v>20851811</v>
          </cell>
          <cell r="L52">
            <v>20851820</v>
          </cell>
        </row>
        <row r="53">
          <cell r="A53" t="str">
            <v>.Utah</v>
          </cell>
          <cell r="B53">
            <v>2736424</v>
          </cell>
          <cell r="C53">
            <v>2668925</v>
          </cell>
          <cell r="D53">
            <v>2585155</v>
          </cell>
          <cell r="E53">
            <v>2501262</v>
          </cell>
          <cell r="F53">
            <v>2439852</v>
          </cell>
          <cell r="G53">
            <v>2380462</v>
          </cell>
          <cell r="H53">
            <v>2334462</v>
          </cell>
          <cell r="I53">
            <v>2291066</v>
          </cell>
          <cell r="J53">
            <v>2244210</v>
          </cell>
          <cell r="K53">
            <v>2233204</v>
          </cell>
          <cell r="L53">
            <v>2233169</v>
          </cell>
        </row>
        <row r="54">
          <cell r="A54" t="str">
            <v>.Vermont</v>
          </cell>
          <cell r="B54">
            <v>621270</v>
          </cell>
          <cell r="C54">
            <v>620748</v>
          </cell>
          <cell r="D54">
            <v>620196</v>
          </cell>
          <cell r="E54">
            <v>619282</v>
          </cell>
          <cell r="F54">
            <v>618432</v>
          </cell>
          <cell r="G54">
            <v>616702</v>
          </cell>
          <cell r="H54">
            <v>614994</v>
          </cell>
          <cell r="I54">
            <v>612134</v>
          </cell>
          <cell r="J54">
            <v>609876</v>
          </cell>
          <cell r="K54">
            <v>608826</v>
          </cell>
          <cell r="L54">
            <v>608827</v>
          </cell>
        </row>
        <row r="55">
          <cell r="A55" t="str">
            <v>.Virginia</v>
          </cell>
          <cell r="B55">
            <v>7769089</v>
          </cell>
          <cell r="C55">
            <v>7698775</v>
          </cell>
          <cell r="D55">
            <v>7628347</v>
          </cell>
          <cell r="E55">
            <v>7546725</v>
          </cell>
          <cell r="F55">
            <v>7454688</v>
          </cell>
          <cell r="G55">
            <v>7363300</v>
          </cell>
          <cell r="H55">
            <v>7276785</v>
          </cell>
          <cell r="I55">
            <v>7188251</v>
          </cell>
          <cell r="J55">
            <v>7104354</v>
          </cell>
          <cell r="K55">
            <v>7079025</v>
          </cell>
          <cell r="L55">
            <v>7078515</v>
          </cell>
        </row>
        <row r="56">
          <cell r="A56" t="str">
            <v>.Washington</v>
          </cell>
          <cell r="B56">
            <v>6549224</v>
          </cell>
          <cell r="C56">
            <v>6449511</v>
          </cell>
          <cell r="D56">
            <v>6360529</v>
          </cell>
          <cell r="E56">
            <v>6254579</v>
          </cell>
          <cell r="F56">
            <v>6179645</v>
          </cell>
          <cell r="G56">
            <v>6110202</v>
          </cell>
          <cell r="H56">
            <v>6055613</v>
          </cell>
          <cell r="I56">
            <v>5987181</v>
          </cell>
          <cell r="J56">
            <v>5911104</v>
          </cell>
          <cell r="K56">
            <v>5894143</v>
          </cell>
          <cell r="L56">
            <v>5894121</v>
          </cell>
        </row>
        <row r="57">
          <cell r="A57" t="str">
            <v>.West Virginia</v>
          </cell>
          <cell r="B57">
            <v>1814468</v>
          </cell>
          <cell r="C57">
            <v>1809836</v>
          </cell>
          <cell r="D57">
            <v>1806760</v>
          </cell>
          <cell r="E57">
            <v>1804020</v>
          </cell>
          <cell r="F57">
            <v>1803312</v>
          </cell>
          <cell r="G57">
            <v>1802287</v>
          </cell>
          <cell r="H57">
            <v>1799392</v>
          </cell>
          <cell r="I57">
            <v>1798540</v>
          </cell>
          <cell r="J57">
            <v>1806977</v>
          </cell>
          <cell r="K57">
            <v>1808345</v>
          </cell>
          <cell r="L57">
            <v>1808344</v>
          </cell>
        </row>
        <row r="58">
          <cell r="A58" t="str">
            <v>.Wisconsin</v>
          </cell>
          <cell r="B58">
            <v>5627967</v>
          </cell>
          <cell r="C58">
            <v>5598893</v>
          </cell>
          <cell r="D58">
            <v>5568505</v>
          </cell>
          <cell r="E58">
            <v>5538806</v>
          </cell>
          <cell r="F58">
            <v>5508789</v>
          </cell>
          <cell r="G58">
            <v>5474360</v>
          </cell>
          <cell r="H58">
            <v>5444638</v>
          </cell>
          <cell r="I58">
            <v>5408061</v>
          </cell>
          <cell r="J58">
            <v>5374133</v>
          </cell>
          <cell r="K58">
            <v>5363708</v>
          </cell>
          <cell r="L58">
            <v>5363675</v>
          </cell>
        </row>
        <row r="59">
          <cell r="A59" t="str">
            <v>.Wyoming</v>
          </cell>
          <cell r="B59">
            <v>532668</v>
          </cell>
          <cell r="C59">
            <v>523252</v>
          </cell>
          <cell r="D59">
            <v>512573</v>
          </cell>
          <cell r="E59">
            <v>506007</v>
          </cell>
          <cell r="F59">
            <v>502816</v>
          </cell>
          <cell r="G59">
            <v>499056</v>
          </cell>
          <cell r="H59">
            <v>496969</v>
          </cell>
          <cell r="I59">
            <v>492924</v>
          </cell>
          <cell r="J59">
            <v>493963</v>
          </cell>
          <cell r="K59">
            <v>493782</v>
          </cell>
          <cell r="L59">
            <v>493782</v>
          </cell>
        </row>
        <row r="60">
          <cell r="A60" t="str">
            <v>United States</v>
          </cell>
          <cell r="B60">
            <v>304059724</v>
          </cell>
          <cell r="C60">
            <v>301290332</v>
          </cell>
          <cell r="D60">
            <v>298362973</v>
          </cell>
          <cell r="E60">
            <v>295560549</v>
          </cell>
          <cell r="F60">
            <v>292892127</v>
          </cell>
          <cell r="G60">
            <v>290210914</v>
          </cell>
          <cell r="H60">
            <v>287726647</v>
          </cell>
          <cell r="I60">
            <v>285039803</v>
          </cell>
          <cell r="J60">
            <v>282171936</v>
          </cell>
          <cell r="K60">
            <v>281424602</v>
          </cell>
          <cell r="L60">
            <v>281421906</v>
          </cell>
        </row>
        <row r="62">
          <cell r="A62" t="str">
            <v>Puerto Rico</v>
          </cell>
          <cell r="B62">
            <v>3954037</v>
          </cell>
          <cell r="C62">
            <v>3941160</v>
          </cell>
          <cell r="D62">
            <v>3926698</v>
          </cell>
          <cell r="E62">
            <v>3910707</v>
          </cell>
          <cell r="F62">
            <v>3893931</v>
          </cell>
          <cell r="G62">
            <v>3876637</v>
          </cell>
          <cell r="H62">
            <v>3858272</v>
          </cell>
          <cell r="I62">
            <v>3837768</v>
          </cell>
          <cell r="J62">
            <v>3814413</v>
          </cell>
          <cell r="K62">
            <v>3808603</v>
          </cell>
          <cell r="L62">
            <v>3808610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egend"/>
      <sheetName val="Housing vs other assets"/>
      <sheetName val="Housing performance"/>
      <sheetName val="HPI comparison"/>
      <sheetName val="MSA correlations"/>
      <sheetName val="MSA returns and volatilities"/>
      <sheetName val="Peak to Trough"/>
      <sheetName val="Supporting sheets follow"/>
      <sheetName val="NAR Data"/>
      <sheetName val="OFHEO data"/>
      <sheetName val="External Data"/>
      <sheetName val="Boston"/>
      <sheetName val="Chicago"/>
      <sheetName val="Denver"/>
      <sheetName val="Las Vegas"/>
      <sheetName val="Los Angeles"/>
      <sheetName val="Miami"/>
      <sheetName val="New York"/>
      <sheetName val="San Diego"/>
      <sheetName val="San francisco"/>
      <sheetName val="Washington DC"/>
      <sheetName val="Bond Index"/>
      <sheetName val="S&amp;P 500"/>
      <sheetName val="Composite index"/>
      <sheetName val="5-yr returns"/>
      <sheetName val="US level indexes"/>
      <sheetName val="Asset class graph"/>
      <sheetName val="rank and percentile"/>
    </sheetNames>
    <sheetDataSet>
      <sheetData sheetId="0"/>
      <sheetData sheetId="1"/>
      <sheetData sheetId="2"/>
      <sheetData sheetId="3"/>
      <sheetData sheetId="4"/>
      <sheetData sheetId="5"/>
      <sheetData sheetId="6"/>
      <sheetData sheetId="7"/>
      <sheetData sheetId="8"/>
      <sheetData sheetId="9"/>
      <sheetData sheetId="10"/>
      <sheetData sheetId="11">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v>5.5888219567635539E-2</v>
          </cell>
        </row>
        <row r="15">
          <cell r="F15">
            <v>9.286561773485319E-2</v>
          </cell>
        </row>
        <row r="16">
          <cell r="F16">
            <v>0.13973189474966999</v>
          </cell>
        </row>
        <row r="17">
          <cell r="F17">
            <v>0.15861410660470115</v>
          </cell>
        </row>
        <row r="18">
          <cell r="F18">
            <v>0.18220901388685254</v>
          </cell>
        </row>
        <row r="19">
          <cell r="F19">
            <v>0.19280886010033424</v>
          </cell>
        </row>
        <row r="20">
          <cell r="F20">
            <v>0.2051949734364682</v>
          </cell>
        </row>
        <row r="21">
          <cell r="F21">
            <v>0.2098696669747474</v>
          </cell>
        </row>
        <row r="22">
          <cell r="F22">
            <v>0.24065947858000847</v>
          </cell>
          <cell r="G22" t="str">
            <v/>
          </cell>
        </row>
        <row r="23">
          <cell r="F23">
            <v>0.26628840292362538</v>
          </cell>
          <cell r="G23" t="str">
            <v/>
          </cell>
        </row>
        <row r="24">
          <cell r="F24">
            <v>0.29863508447097814</v>
          </cell>
          <cell r="G24" t="str">
            <v/>
          </cell>
        </row>
        <row r="25">
          <cell r="F25">
            <v>0.32125392532787644</v>
          </cell>
          <cell r="G25" t="str">
            <v/>
          </cell>
        </row>
        <row r="26">
          <cell r="F26">
            <v>0.30233857194795971</v>
          </cell>
          <cell r="G26" t="str">
            <v/>
          </cell>
        </row>
        <row r="27">
          <cell r="F27">
            <v>0.26703454122696924</v>
          </cell>
          <cell r="G27" t="str">
            <v/>
          </cell>
        </row>
        <row r="28">
          <cell r="F28">
            <v>0.2189226004290703</v>
          </cell>
          <cell r="G28" t="str">
            <v/>
          </cell>
        </row>
        <row r="29">
          <cell r="F29">
            <v>0.17472217159444883</v>
          </cell>
          <cell r="G29" t="str">
            <v/>
          </cell>
        </row>
        <row r="30">
          <cell r="F30">
            <v>0.13826107607238769</v>
          </cell>
          <cell r="G30">
            <v>0.919356360054844</v>
          </cell>
        </row>
        <row r="31">
          <cell r="F31">
            <v>0.11506264388501547</v>
          </cell>
          <cell r="G31">
            <v>0.93406006587079737</v>
          </cell>
        </row>
        <row r="32">
          <cell r="F32">
            <v>8.3894896087811394E-2</v>
          </cell>
          <cell r="G32">
            <v>0.94637944917399786</v>
          </cell>
        </row>
        <row r="33">
          <cell r="F33">
            <v>6.7902515291583448E-2</v>
          </cell>
          <cell r="G33">
            <v>0.93236238579335706</v>
          </cell>
        </row>
        <row r="34">
          <cell r="F34">
            <v>5.9820332228842275E-2</v>
          </cell>
          <cell r="G34">
            <v>0.92328847271605052</v>
          </cell>
        </row>
        <row r="35">
          <cell r="F35">
            <v>3.6602578977547054E-2</v>
          </cell>
          <cell r="G35">
            <v>0.87779702711349117</v>
          </cell>
        </row>
        <row r="36">
          <cell r="F36">
            <v>2.7514963285269367E-2</v>
          </cell>
          <cell r="G36">
            <v>0.83416251770959726</v>
          </cell>
        </row>
        <row r="37">
          <cell r="F37">
            <v>1.8977412470121274E-2</v>
          </cell>
          <cell r="G37">
            <v>0.79272569165877727</v>
          </cell>
        </row>
        <row r="38">
          <cell r="F38">
            <v>1.0272920708191684E-2</v>
          </cell>
          <cell r="G38">
            <v>0.75135237953738976</v>
          </cell>
        </row>
        <row r="39">
          <cell r="F39">
            <v>7.6346296857947391E-3</v>
          </cell>
          <cell r="G39">
            <v>0.69262279669895177</v>
          </cell>
        </row>
        <row r="40">
          <cell r="F40">
            <v>-1.1548684784782208E-2</v>
          </cell>
          <cell r="G40">
            <v>0.61741885948834685</v>
          </cell>
        </row>
        <row r="41">
          <cell r="F41">
            <v>-2.7183552554202774E-2</v>
          </cell>
          <cell r="G41">
            <v>0.55567247212982729</v>
          </cell>
        </row>
        <row r="42">
          <cell r="F42">
            <v>-3.3745947404487851E-2</v>
          </cell>
          <cell r="G42">
            <v>0.4769469535528934</v>
          </cell>
        </row>
        <row r="43">
          <cell r="F43">
            <v>-5.0424071045916369E-2</v>
          </cell>
          <cell r="G43">
            <v>0.37591032272941005</v>
          </cell>
        </row>
        <row r="44">
          <cell r="F44">
            <v>-6.7146635963190052E-2</v>
          </cell>
          <cell r="G44">
            <v>0.25163713905417873</v>
          </cell>
        </row>
        <row r="45">
          <cell r="F45">
            <v>-9.8733566343361279E-2</v>
          </cell>
          <cell r="G45">
            <v>0.13568498045858954</v>
          </cell>
        </row>
        <row r="46">
          <cell r="F46">
            <v>-0.1228411109563545</v>
          </cell>
          <cell r="G46">
            <v>5.1767270648579333E-2</v>
          </cell>
        </row>
        <row r="47">
          <cell r="F47">
            <v>-9.5737798457772846E-2</v>
          </cell>
          <cell r="G47">
            <v>1.3137983044668112E-2</v>
          </cell>
        </row>
        <row r="48">
          <cell r="F48">
            <v>-5.8571042977246829E-2</v>
          </cell>
          <cell r="G48">
            <v>-2.5856504352138345E-2</v>
          </cell>
        </row>
        <row r="49">
          <cell r="F49">
            <v>-1.5930604410966272E-2</v>
          </cell>
          <cell r="G49">
            <v>-5.4967795546825564E-2</v>
          </cell>
        </row>
        <row r="50">
          <cell r="F50">
            <v>9.1169603133245854E-3</v>
          </cell>
          <cell r="G50">
            <v>-7.7376845110483677E-2</v>
          </cell>
        </row>
        <row r="51">
          <cell r="F51">
            <v>2.3696369713605347E-2</v>
          </cell>
          <cell r="G51">
            <v>-7.8228291126741858E-2</v>
          </cell>
        </row>
        <row r="52">
          <cell r="F52">
            <v>4.9272216145028027E-3</v>
          </cell>
          <cell r="G52">
            <v>-0.10482417882544688</v>
          </cell>
        </row>
        <row r="53">
          <cell r="F53">
            <v>9.1985870648542307E-3</v>
          </cell>
          <cell r="G53">
            <v>-0.11367172377355468</v>
          </cell>
        </row>
        <row r="54">
          <cell r="F54">
            <v>2.7012264521167176E-2</v>
          </cell>
          <cell r="G54">
            <v>-0.11018491281815862</v>
          </cell>
        </row>
        <row r="55">
          <cell r="F55">
            <v>1.3689769989170845E-2</v>
          </cell>
          <cell r="G55">
            <v>-0.10114110011511804</v>
          </cell>
        </row>
        <row r="56">
          <cell r="F56">
            <v>3.5553448383661028E-2</v>
          </cell>
          <cell r="G56">
            <v>-9.6785693727055228E-2</v>
          </cell>
        </row>
        <row r="57">
          <cell r="F57">
            <v>1.7704843930217089E-2</v>
          </cell>
          <cell r="G57">
            <v>-0.11494429231345892</v>
          </cell>
        </row>
        <row r="58">
          <cell r="F58">
            <v>1.2793985879252429E-2</v>
          </cell>
          <cell r="G58">
            <v>-0.10766384764709787</v>
          </cell>
        </row>
        <row r="59">
          <cell r="F59">
            <v>2.7398974188114347E-2</v>
          </cell>
          <cell r="G59">
            <v>-8.1376755612798557E-2</v>
          </cell>
        </row>
        <row r="60">
          <cell r="F60">
            <v>2.105041460755968E-2</v>
          </cell>
          <cell r="G60">
            <v>-6.4186594334713284E-2</v>
          </cell>
        </row>
        <row r="61">
          <cell r="F61">
            <v>3.0069808570104942E-2</v>
          </cell>
          <cell r="G61">
            <v>-5.7690931189151272E-2</v>
          </cell>
        </row>
        <row r="62">
          <cell r="F62">
            <v>3.1573147060092843E-2</v>
          </cell>
          <cell r="G62">
            <v>-4.234475318251734E-2</v>
          </cell>
        </row>
        <row r="63">
          <cell r="F63">
            <v>1.356336136107078E-2</v>
          </cell>
          <cell r="G63">
            <v>-1.7389323205811383E-2</v>
          </cell>
        </row>
        <row r="64">
          <cell r="F64">
            <v>1.2587578790267352E-2</v>
          </cell>
          <cell r="G64">
            <v>1.5547620418744084E-2</v>
          </cell>
        </row>
        <row r="65">
          <cell r="F65">
            <v>1.8291896045323993E-2</v>
          </cell>
          <cell r="G65">
            <v>5.9334531199534073E-2</v>
          </cell>
        </row>
        <row r="66">
          <cell r="F66">
            <v>2.5034897731203869E-2</v>
          </cell>
          <cell r="G66">
            <v>0.10553125550504094</v>
          </cell>
        </row>
        <row r="67">
          <cell r="F67">
            <v>3.407461182386929E-2</v>
          </cell>
          <cell r="G67">
            <v>0.11242308707583074</v>
          </cell>
        </row>
        <row r="68">
          <cell r="F68">
            <v>3.8712752870199353E-2</v>
          </cell>
          <cell r="G68">
            <v>0.11283141626619023</v>
          </cell>
        </row>
        <row r="69">
          <cell r="F69">
            <v>4.4787705060639643E-2</v>
          </cell>
          <cell r="G69">
            <v>0.12005284067113987</v>
          </cell>
        </row>
        <row r="70">
          <cell r="F70">
            <v>4.4931432761242826E-2</v>
          </cell>
          <cell r="G70">
            <v>0.14134572795295913</v>
          </cell>
        </row>
        <row r="71">
          <cell r="F71">
            <v>4.8835373147942882E-2</v>
          </cell>
          <cell r="G71">
            <v>0.13756209051016799</v>
          </cell>
        </row>
        <row r="72">
          <cell r="F72">
            <v>5.0577702137574954E-2</v>
          </cell>
          <cell r="G72">
            <v>0.15848189678926228</v>
          </cell>
        </row>
        <row r="73">
          <cell r="F73">
            <v>5.9335569486683969E-2</v>
          </cell>
          <cell r="G73">
            <v>0.17018982309296971</v>
          </cell>
        </row>
        <row r="74">
          <cell r="F74">
            <v>7.1376069299791414E-2</v>
          </cell>
          <cell r="G74">
            <v>0.18570953273158333</v>
          </cell>
        </row>
        <row r="75">
          <cell r="F75">
            <v>7.9307186961312767E-2</v>
          </cell>
          <cell r="G75">
            <v>0.2031795074823099</v>
          </cell>
        </row>
        <row r="76">
          <cell r="F76">
            <v>9.3610040029641559E-2</v>
          </cell>
          <cell r="G76">
            <v>0.21653848843524301</v>
          </cell>
        </row>
        <row r="77">
          <cell r="F77">
            <v>9.3835762968465256E-2</v>
          </cell>
          <cell r="G77">
            <v>0.24632074213121774</v>
          </cell>
        </row>
        <row r="78">
          <cell r="F78">
            <v>9.7433131051088875E-2</v>
          </cell>
          <cell r="G78">
            <v>0.27034867790341977</v>
          </cell>
        </row>
        <row r="79">
          <cell r="F79">
            <v>9.8007453295365088E-2</v>
          </cell>
          <cell r="G79">
            <v>0.27378798658956083</v>
          </cell>
        </row>
        <row r="80">
          <cell r="F80">
            <v>0.11025648627003301</v>
          </cell>
          <cell r="G80">
            <v>0.30574456009771617</v>
          </cell>
        </row>
        <row r="81">
          <cell r="F81">
            <v>0.1223451398329433</v>
          </cell>
          <cell r="G81">
            <v>0.33859607339405612</v>
          </cell>
        </row>
        <row r="82">
          <cell r="F82">
            <v>0.12047415346787443</v>
          </cell>
          <cell r="G82">
            <v>0.35924968431120152</v>
          </cell>
        </row>
        <row r="83">
          <cell r="F83">
            <v>0.14008172267001243</v>
          </cell>
          <cell r="G83">
            <v>0.40030634789850239</v>
          </cell>
        </row>
        <row r="84">
          <cell r="F84">
            <v>0.13126103792819954</v>
          </cell>
          <cell r="G84">
            <v>0.42441801923564831</v>
          </cell>
        </row>
        <row r="85">
          <cell r="F85">
            <v>0.14836372812288709</v>
          </cell>
          <cell r="G85">
            <v>0.46866790547161935</v>
          </cell>
        </row>
        <row r="86">
          <cell r="F86">
            <v>0.15982029144744109</v>
          </cell>
          <cell r="G86">
            <v>0.49403507802743868</v>
          </cell>
        </row>
        <row r="87">
          <cell r="F87">
            <v>0.1422855154259185</v>
          </cell>
          <cell r="G87">
            <v>0.50851725150055171</v>
          </cell>
        </row>
        <row r="88">
          <cell r="F88">
            <v>0.13961567332285985</v>
          </cell>
          <cell r="G88">
            <v>0.52532093968830873</v>
          </cell>
        </row>
        <row r="89">
          <cell r="F89">
            <v>0.11484755535905784</v>
          </cell>
          <cell r="G89">
            <v>0.53872775577003751</v>
          </cell>
        </row>
        <row r="90">
          <cell r="F90">
            <v>9.288206210831304E-2</v>
          </cell>
          <cell r="G90">
            <v>0.54198570737450891</v>
          </cell>
        </row>
        <row r="91">
          <cell r="F91">
            <v>0.10922741779997963</v>
          </cell>
          <cell r="G91">
            <v>0.56890929615258845</v>
          </cell>
        </row>
        <row r="92">
          <cell r="F92">
            <v>0.11849441378384214</v>
          </cell>
          <cell r="G92">
            <v>0.59323765133457607</v>
          </cell>
        </row>
        <row r="93">
          <cell r="F93">
            <v>0.1223369517181709</v>
          </cell>
          <cell r="G93">
            <v>0.60172913800152439</v>
          </cell>
        </row>
        <row r="94">
          <cell r="F94">
            <v>0.12381443259651742</v>
          </cell>
          <cell r="G94">
            <v>0.59442407067123504</v>
          </cell>
        </row>
        <row r="95">
          <cell r="F95">
            <v>9.3147297337325644E-2</v>
          </cell>
          <cell r="G95">
            <v>0.58274940652860141</v>
          </cell>
        </row>
        <row r="96">
          <cell r="F96">
            <v>7.350578015672117E-2</v>
          </cell>
          <cell r="G96">
            <v>0.57313339146165543</v>
          </cell>
        </row>
        <row r="97">
          <cell r="F97">
            <v>7.7071508993305615E-2</v>
          </cell>
          <cell r="G97">
            <v>0.58496488402636482</v>
          </cell>
        </row>
        <row r="98">
          <cell r="F98">
            <v>8.2299497452887185E-2</v>
          </cell>
          <cell r="G98">
            <v>0.5792904370730334</v>
          </cell>
        </row>
        <row r="99">
          <cell r="F99">
            <v>9.4886130123580145E-2</v>
          </cell>
          <cell r="G99">
            <v>0.57962808335681637</v>
          </cell>
        </row>
        <row r="100">
          <cell r="F100">
            <v>9.2791645874702441E-2</v>
          </cell>
          <cell r="G100">
            <v>0.55566855106632496</v>
          </cell>
        </row>
        <row r="101">
          <cell r="F101">
            <v>8.8978913285940306E-2</v>
          </cell>
          <cell r="G101">
            <v>0.55159865747936188</v>
          </cell>
        </row>
        <row r="102">
          <cell r="F102">
            <v>8.9594100488103054E-2</v>
          </cell>
          <cell r="G102">
            <v>0.54841038409326193</v>
          </cell>
        </row>
      </sheetData>
      <sheetData sheetId="12">
        <row r="6">
          <cell r="F6">
            <v>1.0730602345086925E-2</v>
          </cell>
        </row>
        <row r="7">
          <cell r="F7">
            <v>5.3816070778104082E-2</v>
          </cell>
        </row>
        <row r="8">
          <cell r="F8">
            <v>2.97820715596949E-3</v>
          </cell>
        </row>
        <row r="9">
          <cell r="F9">
            <v>-1.3497100172893892E-3</v>
          </cell>
        </row>
        <row r="10">
          <cell r="F10">
            <v>3.39015516756812E-2</v>
          </cell>
        </row>
        <row r="11">
          <cell r="F11">
            <v>-1.0157799181744189E-2</v>
          </cell>
        </row>
        <row r="12">
          <cell r="F12">
            <v>1.3508039336159251E-3</v>
          </cell>
        </row>
        <row r="13">
          <cell r="F13">
            <v>2.3228917885157921E-2</v>
          </cell>
        </row>
        <row r="14">
          <cell r="F14">
            <v>1.3140793561058328E-2</v>
          </cell>
        </row>
        <row r="15">
          <cell r="F15">
            <v>5.4378267661110799E-2</v>
          </cell>
        </row>
        <row r="16">
          <cell r="F16">
            <v>7.7630763226503738E-2</v>
          </cell>
        </row>
        <row r="17">
          <cell r="F17">
            <v>4.9430911981716494E-2</v>
          </cell>
        </row>
        <row r="18">
          <cell r="F18">
            <v>6.0040823732532909E-2</v>
          </cell>
        </row>
        <row r="19">
          <cell r="F19">
            <v>5.4468908361437224E-2</v>
          </cell>
        </row>
        <row r="20">
          <cell r="F20">
            <v>4.230977056990097E-2</v>
          </cell>
        </row>
        <row r="21">
          <cell r="F21">
            <v>4.7581314284638535E-2</v>
          </cell>
        </row>
        <row r="22">
          <cell r="F22">
            <v>4.5893939546200094E-2</v>
          </cell>
          <cell r="G22">
            <v>0.16370771086055974</v>
          </cell>
        </row>
        <row r="23">
          <cell r="F23">
            <v>4.5226737213493302E-2</v>
          </cell>
          <cell r="G23">
            <v>0.19773218483240099</v>
          </cell>
        </row>
        <row r="24">
          <cell r="F24">
            <v>6.5122043384081313E-2</v>
          </cell>
          <cell r="G24">
            <v>0.18939158827007124</v>
          </cell>
        </row>
        <row r="25">
          <cell r="F25">
            <v>6.6706827344314018E-2</v>
          </cell>
          <cell r="G25">
            <v>0.18559826147853778</v>
          </cell>
        </row>
        <row r="26">
          <cell r="F26">
            <v>7.7256737023761582E-2</v>
          </cell>
          <cell r="G26">
            <v>0.23023384553923443</v>
          </cell>
        </row>
        <row r="27">
          <cell r="F27">
            <v>9.6523797580032766E-2</v>
          </cell>
          <cell r="G27">
            <v>0.24043991163432987</v>
          </cell>
        </row>
        <row r="28">
          <cell r="F28">
            <v>0.11456193844834181</v>
          </cell>
          <cell r="G28">
            <v>0.30097531956244356</v>
          </cell>
        </row>
        <row r="29">
          <cell r="F29">
            <v>0.12138646405132809</v>
          </cell>
          <cell r="G29">
            <v>0.30833443554715517</v>
          </cell>
        </row>
        <row r="30">
          <cell r="F30">
            <v>0.11177468344026897</v>
          </cell>
          <cell r="G30">
            <v>0.30810697730382203</v>
          </cell>
        </row>
        <row r="31">
          <cell r="F31">
            <v>0.12947151041592997</v>
          </cell>
          <cell r="G31">
            <v>0.38006922123200398</v>
          </cell>
        </row>
        <row r="32">
          <cell r="F32">
            <v>0.11194145475424726</v>
          </cell>
          <cell r="G32">
            <v>0.4115659703830748</v>
          </cell>
        </row>
        <row r="33">
          <cell r="F33">
            <v>0.11409385049247983</v>
          </cell>
          <cell r="G33">
            <v>0.39919936815447715</v>
          </cell>
        </row>
        <row r="34">
          <cell r="F34">
            <v>0.11397416678570416</v>
          </cell>
          <cell r="G34">
            <v>0.40894035052846772</v>
          </cell>
        </row>
        <row r="35">
          <cell r="F35">
            <v>0.10208490131218612</v>
          </cell>
          <cell r="G35">
            <v>0.42777585488307918</v>
          </cell>
        </row>
        <row r="36">
          <cell r="F36">
            <v>0.10308601681296264</v>
          </cell>
          <cell r="G36">
            <v>0.43702122396953386</v>
          </cell>
        </row>
        <row r="37">
          <cell r="F37">
            <v>9.7593175699374021E-2</v>
          </cell>
          <cell r="G37">
            <v>0.44736163187213474</v>
          </cell>
        </row>
        <row r="38">
          <cell r="F38">
            <v>9.5704330611524488E-2</v>
          </cell>
          <cell r="G38">
            <v>0.44460385740745928</v>
          </cell>
        </row>
        <row r="39">
          <cell r="F39">
            <v>9.2924516802670096E-2</v>
          </cell>
          <cell r="G39">
            <v>0.4662314633243122</v>
          </cell>
        </row>
        <row r="40">
          <cell r="F40">
            <v>8.0427435235323835E-2</v>
          </cell>
          <cell r="G40">
            <v>0.47513888863495674</v>
          </cell>
        </row>
        <row r="41">
          <cell r="F41">
            <v>9.7395686295346104E-2</v>
          </cell>
          <cell r="G41">
            <v>0.49717600388284239</v>
          </cell>
        </row>
        <row r="42">
          <cell r="F42">
            <v>8.5604860776710465E-2</v>
          </cell>
          <cell r="G42">
            <v>0.48431477863796957</v>
          </cell>
        </row>
        <row r="43">
          <cell r="F43">
            <v>6.3404091066959364E-2</v>
          </cell>
          <cell r="G43">
            <v>0.48440881717777828</v>
          </cell>
        </row>
        <row r="44">
          <cell r="F44">
            <v>4.8818525320329348E-2</v>
          </cell>
          <cell r="G44">
            <v>0.45883537057120494</v>
          </cell>
        </row>
        <row r="45">
          <cell r="F45">
            <v>2.3896343636912433E-2</v>
          </cell>
          <cell r="G45">
            <v>0.45436552017544057</v>
          </cell>
        </row>
        <row r="46">
          <cell r="F46">
            <v>2.0905686909435905E-2</v>
          </cell>
          <cell r="G46">
            <v>0.42796372852364378</v>
          </cell>
        </row>
        <row r="47">
          <cell r="F47">
            <v>1.7998236122616609E-2</v>
          </cell>
          <cell r="G47">
            <v>0.40588325572036205</v>
          </cell>
        </row>
        <row r="48">
          <cell r="F48">
            <v>2.5480868994282407E-2</v>
          </cell>
          <cell r="G48">
            <v>0.36975430111714563</v>
          </cell>
        </row>
        <row r="49">
          <cell r="F49">
            <v>3.5630733824594578E-2</v>
          </cell>
          <cell r="G49">
            <v>0.36860978994870697</v>
          </cell>
        </row>
        <row r="50">
          <cell r="F50">
            <v>3.5086433479561682E-2</v>
          </cell>
          <cell r="G50">
            <v>0.35127547856293645</v>
          </cell>
        </row>
        <row r="51">
          <cell r="F51">
            <v>3.4379883930664254E-2</v>
          </cell>
          <cell r="G51">
            <v>0.31079162923509634</v>
          </cell>
        </row>
        <row r="52">
          <cell r="F52">
            <v>3.1433297461247435E-2</v>
          </cell>
          <cell r="G52">
            <v>0.28924614382414593</v>
          </cell>
        </row>
        <row r="53">
          <cell r="F53">
            <v>3.1615710748721756E-2</v>
          </cell>
          <cell r="G53">
            <v>0.28613165020494885</v>
          </cell>
        </row>
        <row r="54">
          <cell r="F54">
            <v>3.548282463343097E-2</v>
          </cell>
          <cell r="G54">
            <v>0.27278413641066335</v>
          </cell>
        </row>
        <row r="55">
          <cell r="F55">
            <v>4.0762749463833958E-2</v>
          </cell>
          <cell r="G55">
            <v>0.24946947738674408</v>
          </cell>
        </row>
        <row r="56">
          <cell r="F56">
            <v>4.6203336379609418E-2</v>
          </cell>
          <cell r="G56">
            <v>0.23236346339079267</v>
          </cell>
        </row>
        <row r="57">
          <cell r="F57">
            <v>4.7655885059545711E-2</v>
          </cell>
          <cell r="G57">
            <v>0.23619435956512039</v>
          </cell>
        </row>
        <row r="58">
          <cell r="F58">
            <v>4.6315920525863856E-2</v>
          </cell>
          <cell r="G58">
            <v>0.22339572632500257</v>
          </cell>
        </row>
        <row r="59">
          <cell r="F59">
            <v>4.5361828978605363E-2</v>
          </cell>
          <cell r="G59">
            <v>0.2019067895626793</v>
          </cell>
        </row>
        <row r="60">
          <cell r="F60">
            <v>4.3550425526620903E-2</v>
          </cell>
          <cell r="G60">
            <v>0.19548645368208964</v>
          </cell>
        </row>
        <row r="61">
          <cell r="F61">
            <v>3.8191095704242228E-2</v>
          </cell>
          <cell r="G61">
            <v>0.17698976897401661</v>
          </cell>
        </row>
        <row r="62">
          <cell r="F62">
            <v>3.578664551244673E-2</v>
          </cell>
          <cell r="G62">
            <v>0.17357751106073893</v>
          </cell>
        </row>
        <row r="63">
          <cell r="F63">
            <v>6.2804220966221911E-3</v>
          </cell>
          <cell r="G63">
            <v>0.14478312059234238</v>
          </cell>
        </row>
        <row r="64">
          <cell r="F64">
            <v>2.3598844270536965E-2</v>
          </cell>
          <cell r="G64">
            <v>0.17026677263229706</v>
          </cell>
        </row>
        <row r="65">
          <cell r="F65">
            <v>1.9939032866045998E-2</v>
          </cell>
          <cell r="G65">
            <v>0.17303245820315011</v>
          </cell>
        </row>
        <row r="66">
          <cell r="F66">
            <v>1.160975671655427E-2</v>
          </cell>
          <cell r="G66">
            <v>0.16428158086785746</v>
          </cell>
        </row>
        <row r="67">
          <cell r="F67">
            <v>4.0301358153342348E-2</v>
          </cell>
          <cell r="G67">
            <v>0.16708624262306795</v>
          </cell>
        </row>
        <row r="68">
          <cell r="F68">
            <v>1.1534701882375957E-2</v>
          </cell>
          <cell r="G68">
            <v>0.15632060552039054</v>
          </cell>
        </row>
        <row r="69">
          <cell r="F69">
            <v>1.2366388272152095E-2</v>
          </cell>
          <cell r="G69">
            <v>0.14976811265070766</v>
          </cell>
        </row>
        <row r="70">
          <cell r="F70">
            <v>2.3645134144682469E-2</v>
          </cell>
          <cell r="G70">
            <v>0.15284028153297835</v>
          </cell>
        </row>
        <row r="71">
          <cell r="F71">
            <v>1.8921377390938233E-2</v>
          </cell>
          <cell r="G71">
            <v>0.15162773608334182</v>
          </cell>
        </row>
        <row r="72">
          <cell r="F72">
            <v>2.9588646580362549E-2</v>
          </cell>
          <cell r="G72">
            <v>0.15447595463950567</v>
          </cell>
        </row>
        <row r="73">
          <cell r="F73">
            <v>3.7915387284632368E-2</v>
          </cell>
          <cell r="G73">
            <v>0.15606778918661843</v>
          </cell>
        </row>
        <row r="74">
          <cell r="F74">
            <v>3.9938560725027938E-2</v>
          </cell>
          <cell r="G74">
            <v>0.15729601762457526</v>
          </cell>
        </row>
        <row r="75">
          <cell r="F75">
            <v>5.1414772604052542E-2</v>
          </cell>
          <cell r="G75">
            <v>0.16227975922356042</v>
          </cell>
        </row>
        <row r="76">
          <cell r="F76">
            <v>5.0799600456272881E-2</v>
          </cell>
          <cell r="G76">
            <v>0.15907221871616911</v>
          </cell>
        </row>
        <row r="77">
          <cell r="F77">
            <v>3.3453922396287222E-2</v>
          </cell>
          <cell r="G77">
            <v>0.14186582652336008</v>
          </cell>
        </row>
        <row r="78">
          <cell r="F78">
            <v>4.1981200526379776E-2</v>
          </cell>
          <cell r="G78">
            <v>0.15296129762509125</v>
          </cell>
        </row>
        <row r="79">
          <cell r="F79">
            <v>5.6926371191911553E-2</v>
          </cell>
          <cell r="G79">
            <v>0.17384430143686672</v>
          </cell>
        </row>
        <row r="80">
          <cell r="F80">
            <v>6.1150724880608985E-2</v>
          </cell>
          <cell r="G80">
            <v>0.17667251807015716</v>
          </cell>
        </row>
        <row r="81">
          <cell r="F81">
            <v>7.6243517215060008E-2</v>
          </cell>
          <cell r="G81">
            <v>0.17991824803417791</v>
          </cell>
        </row>
        <row r="82">
          <cell r="F82">
            <v>7.8718584711405082E-2</v>
          </cell>
          <cell r="G82">
            <v>0.19589323682404941</v>
          </cell>
        </row>
        <row r="83">
          <cell r="F83">
            <v>8.1702459091900798E-2</v>
          </cell>
          <cell r="G83">
            <v>0.24926633843214524</v>
          </cell>
        </row>
        <row r="84">
          <cell r="F84">
            <v>8.2691715845113409E-2</v>
          </cell>
          <cell r="G84">
            <v>0.23576538964473381</v>
          </cell>
        </row>
        <row r="85">
          <cell r="F85">
            <v>7.6711780419459599E-2</v>
          </cell>
          <cell r="G85">
            <v>0.23669099558759149</v>
          </cell>
        </row>
        <row r="86">
          <cell r="F86">
            <v>7.4086543352698167E-2</v>
          </cell>
          <cell r="G86">
            <v>0.25837002346019333</v>
          </cell>
        </row>
        <row r="87">
          <cell r="F87">
            <v>7.4640879174060704E-2</v>
          </cell>
          <cell r="G87">
            <v>0.28360585945286387</v>
          </cell>
        </row>
        <row r="88">
          <cell r="F88">
            <v>8.3785911173699434E-2</v>
          </cell>
          <cell r="G88">
            <v>0.30801659893605721</v>
          </cell>
        </row>
        <row r="89">
          <cell r="F89">
            <v>8.3306063120476101E-2</v>
          </cell>
          <cell r="G89">
            <v>0.30763067043591547</v>
          </cell>
        </row>
        <row r="90">
          <cell r="F90">
            <v>7.2607835798105272E-2</v>
          </cell>
          <cell r="G90">
            <v>0.30733272511361609</v>
          </cell>
        </row>
        <row r="91">
          <cell r="F91">
            <v>6.1386916464552216E-2</v>
          </cell>
          <cell r="G91">
            <v>0.32607139852647771</v>
          </cell>
        </row>
        <row r="92">
          <cell r="F92">
            <v>5.9535366723349713E-2</v>
          </cell>
          <cell r="G92">
            <v>0.33796331907904437</v>
          </cell>
        </row>
        <row r="93">
          <cell r="F93">
            <v>7.6655302090066268E-2</v>
          </cell>
          <cell r="G93">
            <v>0.34637058524134928</v>
          </cell>
        </row>
        <row r="94">
          <cell r="F94">
            <v>8.6874637646988953E-2</v>
          </cell>
          <cell r="G94">
            <v>0.35426880203557742</v>
          </cell>
        </row>
        <row r="95">
          <cell r="F95">
            <v>7.8892214730786628E-2</v>
          </cell>
          <cell r="G95">
            <v>0.35354884065321196</v>
          </cell>
        </row>
        <row r="96">
          <cell r="F96">
            <v>7.6263416066129061E-2</v>
          </cell>
          <cell r="G96">
            <v>0.36342713468890064</v>
          </cell>
        </row>
        <row r="97">
          <cell r="F97">
            <v>8.318846242072149E-2</v>
          </cell>
          <cell r="G97">
            <v>0.39610512526578345</v>
          </cell>
        </row>
        <row r="98">
          <cell r="F98">
            <v>7.4283262443371564E-2</v>
          </cell>
          <cell r="G98">
            <v>0.38657086395256907</v>
          </cell>
        </row>
        <row r="99">
          <cell r="F99">
            <v>8.2118270747793293E-2</v>
          </cell>
          <cell r="G99">
            <v>0.37874074020909365</v>
          </cell>
        </row>
        <row r="100">
          <cell r="F100">
            <v>8.7396900279063133E-2</v>
          </cell>
          <cell r="G100">
            <v>0.38967331008735484</v>
          </cell>
        </row>
        <row r="101">
          <cell r="F101">
            <v>8.2267326750363176E-2</v>
          </cell>
          <cell r="G101">
            <v>0.40212893480108658</v>
          </cell>
        </row>
        <row r="102">
          <cell r="F102">
            <v>9.5410405311800173E-2</v>
          </cell>
          <cell r="G102">
            <v>0.40326268455296427</v>
          </cell>
        </row>
      </sheetData>
      <sheetData sheetId="13">
        <row r="6">
          <cell r="F6">
            <v>8.6120711313550272E-2</v>
          </cell>
        </row>
        <row r="7">
          <cell r="F7">
            <v>9.2078078913196804E-2</v>
          </cell>
        </row>
        <row r="8">
          <cell r="F8">
            <v>9.4551413305398929E-2</v>
          </cell>
        </row>
        <row r="9">
          <cell r="F9">
            <v>9.1929656830049597E-2</v>
          </cell>
        </row>
        <row r="10">
          <cell r="F10">
            <v>8.6422342514083025E-2</v>
          </cell>
        </row>
        <row r="11">
          <cell r="F11">
            <v>8.1844370838155378E-2</v>
          </cell>
        </row>
        <row r="12">
          <cell r="F12">
            <v>5.3005122669363081E-2</v>
          </cell>
        </row>
        <row r="13">
          <cell r="F13">
            <v>2.4666802475385906E-2</v>
          </cell>
        </row>
        <row r="14">
          <cell r="F14">
            <v>1.2879280644569856E-2</v>
          </cell>
        </row>
        <row r="15">
          <cell r="F15">
            <v>-8.2321469971060354E-4</v>
          </cell>
        </row>
        <row r="16">
          <cell r="F16">
            <v>5.7424275928490793E-3</v>
          </cell>
        </row>
        <row r="17">
          <cell r="F17">
            <v>6.9959133068234593E-3</v>
          </cell>
        </row>
        <row r="18">
          <cell r="F18">
            <v>6.5830313851860398E-3</v>
          </cell>
        </row>
        <row r="19">
          <cell r="F19">
            <v>6.5668202329007578E-3</v>
          </cell>
        </row>
        <row r="20">
          <cell r="F20">
            <v>5.5062849430216349E-3</v>
          </cell>
        </row>
        <row r="21">
          <cell r="F21">
            <v>-1.2310219035099902E-3</v>
          </cell>
        </row>
        <row r="22">
          <cell r="F22">
            <v>1.8436961076330879E-3</v>
          </cell>
          <cell r="G22">
            <v>0.19384906196502197</v>
          </cell>
        </row>
        <row r="23">
          <cell r="F23">
            <v>1.8391749334673159E-3</v>
          </cell>
          <cell r="G23">
            <v>0.18150523021800963</v>
          </cell>
        </row>
        <row r="24">
          <cell r="F24">
            <v>-8.7836332267878323E-3</v>
          </cell>
          <cell r="G24">
            <v>0.15002161528384497</v>
          </cell>
        </row>
        <row r="25">
          <cell r="F25">
            <v>-7.8318619614586738E-3</v>
          </cell>
          <cell r="G25">
            <v>0.11452948874729053</v>
          </cell>
        </row>
        <row r="26">
          <cell r="F26">
            <v>-2.1515103799415694E-2</v>
          </cell>
          <cell r="G26">
            <v>8.6213246852056183E-2</v>
          </cell>
        </row>
        <row r="27">
          <cell r="F27">
            <v>-1.067333613564188E-2</v>
          </cell>
          <cell r="G27">
            <v>7.875381516917096E-2</v>
          </cell>
        </row>
        <row r="28">
          <cell r="F28">
            <v>-7.6202613621684295E-3</v>
          </cell>
          <cell r="G28">
            <v>4.7849940616277668E-2</v>
          </cell>
        </row>
        <row r="29">
          <cell r="F29">
            <v>-7.4766703430201396E-3</v>
          </cell>
          <cell r="G29">
            <v>1.5123161574220828E-2</v>
          </cell>
        </row>
        <row r="30">
          <cell r="F30">
            <v>-7.3460294669520712E-3</v>
          </cell>
          <cell r="G30">
            <v>-7.5551251289788469E-3</v>
          </cell>
        </row>
        <row r="31">
          <cell r="F31">
            <v>-3.9284657159780832E-3</v>
          </cell>
          <cell r="G31">
            <v>-7.0190213849625266E-3</v>
          </cell>
        </row>
        <row r="32">
          <cell r="F32">
            <v>-1.8623906055610271E-3</v>
          </cell>
          <cell r="G32">
            <v>-7.0175726586464227E-3</v>
          </cell>
        </row>
        <row r="33">
          <cell r="F33">
            <v>-1.491154375521085E-2</v>
          </cell>
          <cell r="G33">
            <v>-2.4455184656376035E-2</v>
          </cell>
        </row>
        <row r="34">
          <cell r="F34">
            <v>-1.8282822178577112E-2</v>
          </cell>
          <cell r="G34">
            <v>-3.8717227952125711E-2</v>
          </cell>
        </row>
        <row r="35">
          <cell r="F35">
            <v>-2.0722876574558815E-2</v>
          </cell>
          <cell r="G35">
            <v>-2.6918683259810647E-2</v>
          </cell>
        </row>
        <row r="36">
          <cell r="F36">
            <v>-2.3047322249801851E-2</v>
          </cell>
          <cell r="G36">
            <v>-3.5807322501297353E-2</v>
          </cell>
        </row>
        <row r="37">
          <cell r="F37">
            <v>-1.6211959165451147E-2</v>
          </cell>
          <cell r="G37">
            <v>-4.766305712865062E-2</v>
          </cell>
        </row>
        <row r="38">
          <cell r="F38">
            <v>-8.8353122969563342E-3</v>
          </cell>
          <cell r="G38">
            <v>-5.4135571634268118E-2</v>
          </cell>
        </row>
        <row r="39">
          <cell r="F39">
            <v>-5.0890695074712932E-3</v>
          </cell>
          <cell r="G39">
            <v>-3.857457300018273E-2</v>
          </cell>
        </row>
        <row r="40">
          <cell r="F40">
            <v>-3.8224722694704051E-3</v>
          </cell>
          <cell r="G40">
            <v>-4.513607971378944E-2</v>
          </cell>
        </row>
        <row r="41">
          <cell r="F41">
            <v>-5.6070882291885081E-3</v>
          </cell>
          <cell r="G41">
            <v>-5.2039123454329192E-2</v>
          </cell>
        </row>
        <row r="42">
          <cell r="F42">
            <v>7.1174677688639549E-3</v>
          </cell>
          <cell r="G42">
            <v>-4.886179997303728E-2</v>
          </cell>
        </row>
        <row r="43">
          <cell r="F43">
            <v>2.58119460820301E-2</v>
          </cell>
          <cell r="G43">
            <v>-1.4601801851620067E-2</v>
          </cell>
        </row>
        <row r="44">
          <cell r="F44">
            <v>2.6040950708871389E-2</v>
          </cell>
          <cell r="G44">
            <v>-1.0311495778130182E-2</v>
          </cell>
        </row>
        <row r="45">
          <cell r="F45">
            <v>3.1924396546562081E-2</v>
          </cell>
          <cell r="G45">
            <v>-1.2282864946308635E-2</v>
          </cell>
        </row>
        <row r="46">
          <cell r="F46">
            <v>3.1728549820175769E-2</v>
          </cell>
          <cell r="G46">
            <v>4.3818536465542899E-3</v>
          </cell>
        </row>
        <row r="47">
          <cell r="F47">
            <v>2.2937724880131939E-2</v>
          </cell>
          <cell r="G47">
            <v>1.9009259164153823E-2</v>
          </cell>
        </row>
        <row r="48">
          <cell r="F48">
            <v>3.5434372987876293E-2</v>
          </cell>
          <cell r="G48">
            <v>3.2743138571914403E-2</v>
          </cell>
        </row>
        <row r="49">
          <cell r="F49">
            <v>4.9049471819463224E-2</v>
          </cell>
          <cell r="G49">
            <v>4.4243277216174839E-2</v>
          </cell>
        </row>
        <row r="50">
          <cell r="F50">
            <v>6.3718384792758806E-2</v>
          </cell>
          <cell r="G50">
            <v>7.544626790626513E-2</v>
          </cell>
        </row>
        <row r="51">
          <cell r="F51">
            <v>7.0732600447181174E-2</v>
          </cell>
          <cell r="G51">
            <v>9.367032532731312E-2</v>
          </cell>
        </row>
        <row r="52">
          <cell r="F52">
            <v>7.5693064056770953E-2</v>
          </cell>
          <cell r="G52">
            <v>0.11029859323424662</v>
          </cell>
        </row>
        <row r="53">
          <cell r="F53">
            <v>7.9889279316606568E-2</v>
          </cell>
          <cell r="G53">
            <v>0.13904410028799227</v>
          </cell>
        </row>
        <row r="54">
          <cell r="F54">
            <v>8.5333209870736282E-2</v>
          </cell>
          <cell r="G54">
            <v>0.17906229995557849</v>
          </cell>
        </row>
        <row r="55">
          <cell r="F55">
            <v>8.3389154656667741E-2</v>
          </cell>
          <cell r="G55">
            <v>0.19778235655853951</v>
          </cell>
        </row>
        <row r="56">
          <cell r="F56">
            <v>9.882837619318334E-2</v>
          </cell>
          <cell r="G56">
            <v>0.23217429167723161</v>
          </cell>
        </row>
        <row r="57">
          <cell r="F57">
            <v>0.11976556147051251</v>
          </cell>
          <cell r="G57">
            <v>0.27502162092395588</v>
          </cell>
        </row>
        <row r="58">
          <cell r="F58">
            <v>0.12352635175460952</v>
          </cell>
          <cell r="G58">
            <v>0.31142396400714445</v>
          </cell>
        </row>
        <row r="59">
          <cell r="F59">
            <v>0.11046720438575312</v>
          </cell>
          <cell r="G59">
            <v>0.31333863045176408</v>
          </cell>
        </row>
        <row r="60">
          <cell r="F60">
            <v>9.4683656453477247E-2</v>
          </cell>
          <cell r="G60">
            <v>0.33068042040017931</v>
          </cell>
        </row>
        <row r="61">
          <cell r="F61">
            <v>7.5635250689213493E-2</v>
          </cell>
          <cell r="G61">
            <v>0.35626395984235798</v>
          </cell>
        </row>
        <row r="62">
          <cell r="F62">
            <v>5.8496206681608418E-2</v>
          </cell>
          <cell r="G62">
            <v>0.36280270291988892</v>
          </cell>
        </row>
        <row r="63">
          <cell r="F63">
            <v>6.6430669289609084E-2</v>
          </cell>
          <cell r="G63">
            <v>0.35395735365934305</v>
          </cell>
        </row>
        <row r="64">
          <cell r="F64">
            <v>6.5378889421108921E-2</v>
          </cell>
          <cell r="G64">
            <v>0.37001835911241676</v>
          </cell>
        </row>
        <row r="65">
          <cell r="F65">
            <v>6.2378079112416433E-2</v>
          </cell>
          <cell r="G65">
            <v>0.38671764240821244</v>
          </cell>
        </row>
        <row r="66">
          <cell r="F66">
            <v>5.7947244045718584E-2</v>
          </cell>
          <cell r="G66">
            <v>0.38902139714543166</v>
          </cell>
        </row>
        <row r="67">
          <cell r="F67">
            <v>5.212906543494681E-2</v>
          </cell>
          <cell r="G67">
            <v>0.38314869421415798</v>
          </cell>
        </row>
        <row r="68">
          <cell r="F68">
            <v>4.192104669847687E-2</v>
          </cell>
          <cell r="G68">
            <v>0.3765050328230175</v>
          </cell>
        </row>
        <row r="69">
          <cell r="F69">
            <v>4.7786869482726139E-2</v>
          </cell>
          <cell r="G69">
            <v>0.38545504007147524</v>
          </cell>
        </row>
        <row r="70">
          <cell r="F70">
            <v>4.7398319347213121E-2</v>
          </cell>
          <cell r="G70">
            <v>0.37270133169988612</v>
          </cell>
        </row>
        <row r="71">
          <cell r="F71">
            <v>5.1251885662726232E-2</v>
          </cell>
          <cell r="G71">
            <v>0.36366797942970314</v>
          </cell>
        </row>
        <row r="72">
          <cell r="F72">
            <v>5.6586141560078081E-2</v>
          </cell>
          <cell r="G72">
            <v>0.35739811032632446</v>
          </cell>
        </row>
        <row r="73">
          <cell r="F73">
            <v>5.8739727563186336E-2</v>
          </cell>
          <cell r="G73">
            <v>0.36430548831805487</v>
          </cell>
        </row>
        <row r="74">
          <cell r="F74">
            <v>6.3351907013964551E-2</v>
          </cell>
          <cell r="G74">
            <v>0.35072002884311426</v>
          </cell>
        </row>
        <row r="75">
          <cell r="F75">
            <v>6.9272577098620697E-2</v>
          </cell>
          <cell r="G75">
            <v>0.34955140187165606</v>
          </cell>
        </row>
        <row r="76">
          <cell r="F76">
            <v>8.883705253737062E-2</v>
          </cell>
          <cell r="G76">
            <v>0.34740678667051172</v>
          </cell>
        </row>
        <row r="77">
          <cell r="F77">
            <v>9.0437750623861904E-2</v>
          </cell>
          <cell r="G77">
            <v>0.33497767747140428</v>
          </cell>
        </row>
        <row r="78">
          <cell r="F78">
            <v>0.11276012658800108</v>
          </cell>
          <cell r="G78">
            <v>0.33995380367650579</v>
          </cell>
        </row>
        <row r="79">
          <cell r="F79">
            <v>0.11804130538656789</v>
          </cell>
          <cell r="G79">
            <v>0.35712550287247069</v>
          </cell>
        </row>
        <row r="80">
          <cell r="F80">
            <v>0.12557509515941209</v>
          </cell>
          <cell r="G80">
            <v>0.37829822537644664</v>
          </cell>
        </row>
        <row r="81">
          <cell r="F81">
            <v>0.12814180722918611</v>
          </cell>
          <cell r="G81">
            <v>0.38748423401137688</v>
          </cell>
        </row>
        <row r="82">
          <cell r="F82">
            <v>0.12081262021674784</v>
          </cell>
          <cell r="G82">
            <v>0.40227021721164524</v>
          </cell>
        </row>
        <row r="83">
          <cell r="F83">
            <v>0.13715372477911122</v>
          </cell>
          <cell r="G83">
            <v>0.42784855836197266</v>
          </cell>
        </row>
        <row r="84">
          <cell r="F84">
            <v>0.13194636750211017</v>
          </cell>
          <cell r="G84">
            <v>0.44486570345744797</v>
          </cell>
        </row>
        <row r="85">
          <cell r="F85">
            <v>0.13947586026764328</v>
          </cell>
          <cell r="G85">
            <v>0.46458201516660363</v>
          </cell>
        </row>
        <row r="86">
          <cell r="F86">
            <v>0.13488048219381821</v>
          </cell>
          <cell r="G86">
            <v>0.47920345535974485</v>
          </cell>
        </row>
        <row r="87">
          <cell r="F87">
            <v>0.12870890053122969</v>
          </cell>
          <cell r="G87">
            <v>0.50442839345825563</v>
          </cell>
        </row>
        <row r="88">
          <cell r="F88">
            <v>0.11056855089767079</v>
          </cell>
          <cell r="G88">
            <v>0.51351320765664177</v>
          </cell>
        </row>
        <row r="89">
          <cell r="F89">
            <v>5.9782729192200713E-2</v>
          </cell>
          <cell r="G89">
            <v>0.47657787487607839</v>
          </cell>
        </row>
        <row r="90">
          <cell r="F90">
            <v>4.8440574933220105E-2</v>
          </cell>
          <cell r="G90">
            <v>0.48024571094575164</v>
          </cell>
        </row>
        <row r="91">
          <cell r="F91">
            <v>2.1683524019348584E-2</v>
          </cell>
          <cell r="G91">
            <v>0.4748600318148779</v>
          </cell>
        </row>
        <row r="92">
          <cell r="F92">
            <v>1.3141437131484064E-2</v>
          </cell>
          <cell r="G92">
            <v>0.47006850322804783</v>
          </cell>
        </row>
        <row r="93">
          <cell r="F93">
            <v>3.5901291506544385E-2</v>
          </cell>
          <cell r="G93">
            <v>0.45373943881943646</v>
          </cell>
        </row>
        <row r="94">
          <cell r="F94">
            <v>2.0761991448429225E-2</v>
          </cell>
          <cell r="G94">
            <v>0.43765579538021632</v>
          </cell>
        </row>
        <row r="95">
          <cell r="F95">
            <v>6.746621810609703E-3</v>
          </cell>
          <cell r="G95">
            <v>0.41233407652686693</v>
          </cell>
        </row>
        <row r="96">
          <cell r="F96">
            <v>8.8803360689242335E-3</v>
          </cell>
          <cell r="G96">
            <v>0.3901117867596014</v>
          </cell>
        </row>
        <row r="97">
          <cell r="F97">
            <v>1.2355307169107594E-2</v>
          </cell>
          <cell r="G97">
            <v>0.37565699536468194</v>
          </cell>
        </row>
        <row r="98">
          <cell r="F98">
            <v>2.1776810232970772E-2</v>
          </cell>
          <cell r="G98">
            <v>0.346672479025186</v>
          </cell>
        </row>
        <row r="99">
          <cell r="F99">
            <v>3.7368208155969952E-2</v>
          </cell>
          <cell r="G99">
            <v>0.33166097929626914</v>
          </cell>
        </row>
        <row r="100">
          <cell r="F100">
            <v>3.7776048647255291E-2</v>
          </cell>
          <cell r="G100">
            <v>0.30231274024744431</v>
          </cell>
        </row>
        <row r="101">
          <cell r="F101">
            <v>4.0038380994297386E-2</v>
          </cell>
          <cell r="G101">
            <v>0.28755356912979319</v>
          </cell>
        </row>
        <row r="102">
          <cell r="F102">
            <v>3.8348857457700801E-2</v>
          </cell>
          <cell r="G102">
            <v>0.26420871626613879</v>
          </cell>
        </row>
      </sheetData>
      <sheetData sheetId="14">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v>-3.7028135360348963E-3</v>
          </cell>
        </row>
        <row r="20">
          <cell r="F20">
            <v>-2.1414768908831098E-2</v>
          </cell>
        </row>
        <row r="21">
          <cell r="F21">
            <v>-9.9858322067035266E-2</v>
          </cell>
        </row>
        <row r="22">
          <cell r="F22">
            <v>-4.9335569146137043E-2</v>
          </cell>
          <cell r="G22" t="str">
            <v/>
          </cell>
        </row>
        <row r="23">
          <cell r="F23">
            <v>-3.8137429149586198E-2</v>
          </cell>
          <cell r="G23" t="str">
            <v/>
          </cell>
        </row>
        <row r="24">
          <cell r="F24">
            <v>-3.6302803457957902E-2</v>
          </cell>
          <cell r="G24" t="str">
            <v/>
          </cell>
        </row>
        <row r="25">
          <cell r="F25">
            <v>1.5183469808577083E-3</v>
          </cell>
          <cell r="G25" t="str">
            <v/>
          </cell>
        </row>
        <row r="26">
          <cell r="F26">
            <v>1.5589792842684509E-2</v>
          </cell>
          <cell r="G26" t="str">
            <v/>
          </cell>
        </row>
        <row r="27">
          <cell r="F27">
            <v>1.2323220063020442E-2</v>
          </cell>
          <cell r="G27" t="str">
            <v/>
          </cell>
        </row>
        <row r="28">
          <cell r="F28">
            <v>3.5665962169120283E-2</v>
          </cell>
          <cell r="G28" t="str">
            <v/>
          </cell>
        </row>
        <row r="29">
          <cell r="F29">
            <v>3.8526712340621883E-2</v>
          </cell>
          <cell r="G29" t="str">
            <v/>
          </cell>
        </row>
        <row r="30">
          <cell r="F30">
            <v>1.8835353321037168E-2</v>
          </cell>
          <cell r="G30" t="str">
            <v/>
          </cell>
        </row>
        <row r="31">
          <cell r="F31">
            <v>5.0349452882844099E-2</v>
          </cell>
          <cell r="G31" t="str">
            <v/>
          </cell>
        </row>
        <row r="32">
          <cell r="F32">
            <v>-2.7938837819286223E-2</v>
          </cell>
          <cell r="G32" t="str">
            <v/>
          </cell>
        </row>
        <row r="33">
          <cell r="F33">
            <v>3.1454656710644659E-2</v>
          </cell>
          <cell r="G33" t="str">
            <v/>
          </cell>
        </row>
        <row r="34">
          <cell r="F34">
            <v>-1.851313646630804E-2</v>
          </cell>
          <cell r="G34" t="str">
            <v/>
          </cell>
        </row>
        <row r="35">
          <cell r="F35">
            <v>2.1640137679025374E-2</v>
          </cell>
          <cell r="G35">
            <v>4.2472567939268992E-2</v>
          </cell>
        </row>
        <row r="36">
          <cell r="F36">
            <v>8.3990660245890386E-2</v>
          </cell>
          <cell r="G36">
            <v>3.4000212228935581E-2</v>
          </cell>
        </row>
        <row r="37">
          <cell r="F37">
            <v>1.8223384140867941E-2</v>
          </cell>
          <cell r="G37">
            <v>-1.0135221894043018E-2</v>
          </cell>
        </row>
        <row r="38">
          <cell r="F38">
            <v>9.5046555555225662E-2</v>
          </cell>
          <cell r="G38">
            <v>6.1622996106502154E-2</v>
          </cell>
        </row>
        <row r="39">
          <cell r="F39">
            <v>7.002934837959271E-2</v>
          </cell>
          <cell r="G39">
            <v>0.11620472985489678</v>
          </cell>
        </row>
        <row r="40">
          <cell r="F40">
            <v>5.3361625230393672E-2</v>
          </cell>
          <cell r="G40">
            <v>0.10877660636816044</v>
          </cell>
        </row>
        <row r="41">
          <cell r="F41">
            <v>0.1113312338756292</v>
          </cell>
          <cell r="G41">
            <v>0.20105433404862139</v>
          </cell>
        </row>
        <row r="42">
          <cell r="F42">
            <v>6.3421008128653991E-2</v>
          </cell>
          <cell r="G42">
            <v>0.17437957338129331</v>
          </cell>
        </row>
        <row r="43">
          <cell r="F43">
            <v>8.7657348661114326E-2</v>
          </cell>
          <cell r="G43">
            <v>0.24199950766559727</v>
          </cell>
        </row>
        <row r="44">
          <cell r="F44">
            <v>0.12112426329981966</v>
          </cell>
          <cell r="G44">
            <v>0.26620367312593779</v>
          </cell>
        </row>
        <row r="45">
          <cell r="F45">
            <v>7.5635585284710691E-2</v>
          </cell>
          <cell r="G45">
            <v>0.27517157235247452</v>
          </cell>
        </row>
        <row r="46">
          <cell r="F46">
            <v>8.974569783060056E-2</v>
          </cell>
          <cell r="G46">
            <v>0.24853547836920928</v>
          </cell>
        </row>
        <row r="47">
          <cell r="F47">
            <v>3.8451388905918912E-2</v>
          </cell>
          <cell r="G47">
            <v>0.26812767650849562</v>
          </cell>
        </row>
        <row r="48">
          <cell r="F48">
            <v>5.6666464233777199E-2</v>
          </cell>
          <cell r="G48">
            <v>0.28720417519059482</v>
          </cell>
        </row>
        <row r="49">
          <cell r="F49">
            <v>1.7261502329882088E-2</v>
          </cell>
          <cell r="G49">
            <v>0.25390636234173475</v>
          </cell>
        </row>
        <row r="50">
          <cell r="F50">
            <v>2.5682200552200603E-2</v>
          </cell>
          <cell r="G50">
            <v>0.25538232560037283</v>
          </cell>
        </row>
        <row r="51">
          <cell r="F51">
            <v>2.6974662490592469E-2</v>
          </cell>
          <cell r="G51">
            <v>0.24475288611624391</v>
          </cell>
        </row>
        <row r="52">
          <cell r="F52">
            <v>-5.3509696665017759E-2</v>
          </cell>
          <cell r="G52">
            <v>0.26163331634486331</v>
          </cell>
        </row>
        <row r="53">
          <cell r="F53">
            <v>-1.8892883004928711E-3</v>
          </cell>
          <cell r="G53">
            <v>0.22056241733059723</v>
          </cell>
        </row>
        <row r="54">
          <cell r="F54">
            <v>-2.0292703267762471E-2</v>
          </cell>
          <cell r="G54">
            <v>0.25360275879891836</v>
          </cell>
        </row>
        <row r="55">
          <cell r="F55">
            <v>-1.8403901681271026E-2</v>
          </cell>
          <cell r="G55">
            <v>0.20470884675594744</v>
          </cell>
        </row>
        <row r="56">
          <cell r="F56">
            <v>4.1003521159788059E-2</v>
          </cell>
          <cell r="G56">
            <v>0.2186461772587609</v>
          </cell>
        </row>
        <row r="57">
          <cell r="F57">
            <v>3.7730989301562295E-2</v>
          </cell>
          <cell r="G57">
            <v>0.24007002249129139</v>
          </cell>
        </row>
        <row r="58">
          <cell r="F58">
            <v>3.3072041060193735E-2</v>
          </cell>
          <cell r="G58">
            <v>0.19162824430388636</v>
          </cell>
        </row>
        <row r="59">
          <cell r="F59">
            <v>6.2512750770101669E-2</v>
          </cell>
          <cell r="G59">
            <v>0.19719224914645633</v>
          </cell>
        </row>
        <row r="60">
          <cell r="F60">
            <v>3.1563389519635117E-2</v>
          </cell>
          <cell r="G60">
            <v>0.19684794154800217</v>
          </cell>
        </row>
        <row r="61">
          <cell r="F61">
            <v>4.1380294390326991E-2</v>
          </cell>
          <cell r="G61">
            <v>0.17011908300598932</v>
          </cell>
        </row>
        <row r="62">
          <cell r="F62">
            <v>3.7502911609409176E-2</v>
          </cell>
          <cell r="G62">
            <v>0.16571014778464166</v>
          </cell>
        </row>
        <row r="63">
          <cell r="F63">
            <v>2.0768451521944831E-2</v>
          </cell>
          <cell r="G63">
            <v>0.13030335200728674</v>
          </cell>
        </row>
        <row r="64">
          <cell r="F64">
            <v>3.0142590360113262E-2</v>
          </cell>
          <cell r="G64">
            <v>0.10586626860829582</v>
          </cell>
        </row>
        <row r="65">
          <cell r="F65">
            <v>1.3651299457937983E-2</v>
          </cell>
          <cell r="G65">
            <v>0.10813479717921651</v>
          </cell>
        </row>
        <row r="66">
          <cell r="F66">
            <v>2.0864107647178505E-2</v>
          </cell>
          <cell r="G66">
            <v>9.6828557601219625E-2</v>
          </cell>
        </row>
        <row r="67">
          <cell r="F67">
            <v>2.6549727843159364E-2</v>
          </cell>
          <cell r="G67">
            <v>0.11840169094452732</v>
          </cell>
        </row>
        <row r="68">
          <cell r="F68">
            <v>1.3559529785632074E-2</v>
          </cell>
          <cell r="G68">
            <v>6.2759334160150726E-2</v>
          </cell>
        </row>
        <row r="69">
          <cell r="F69">
            <v>1.7540313020069288E-2</v>
          </cell>
          <cell r="G69">
            <v>0.1084136078694036</v>
          </cell>
        </row>
        <row r="70">
          <cell r="F70">
            <v>3.0889185758611971E-2</v>
          </cell>
          <cell r="G70">
            <v>0.102035542807631</v>
          </cell>
        </row>
        <row r="71">
          <cell r="F71">
            <v>2.5424627872005608E-2</v>
          </cell>
          <cell r="G71">
            <v>0.11685165632594031</v>
          </cell>
        </row>
        <row r="72">
          <cell r="F72">
            <v>2.3405205715303423E-2</v>
          </cell>
          <cell r="G72">
            <v>0.13967423654047176</v>
          </cell>
        </row>
        <row r="73">
          <cell r="F73">
            <v>3.8864564592135713E-2</v>
          </cell>
          <cell r="G73">
            <v>0.14916746076203199</v>
          </cell>
        </row>
        <row r="74">
          <cell r="F74">
            <v>2.2745649816893643E-2</v>
          </cell>
          <cell r="G74">
            <v>0.14507389589228695</v>
          </cell>
        </row>
        <row r="75">
          <cell r="F75">
            <v>2.4794211163801046E-2</v>
          </cell>
          <cell r="G75">
            <v>0.16004976917101252</v>
          </cell>
        </row>
        <row r="76">
          <cell r="F76">
            <v>3.4164646106174465E-2</v>
          </cell>
          <cell r="G76">
            <v>0.13283536148685823</v>
          </cell>
        </row>
        <row r="77">
          <cell r="F77">
            <v>1.5731387884113018E-2</v>
          </cell>
          <cell r="G77">
            <v>0.12716785934458277</v>
          </cell>
        </row>
        <row r="78">
          <cell r="F78">
            <v>2.5828543576232245E-2</v>
          </cell>
          <cell r="G78">
            <v>0.13783039840832551</v>
          </cell>
        </row>
        <row r="79">
          <cell r="F79">
            <v>2.9296088804837091E-2</v>
          </cell>
          <cell r="G79">
            <v>0.12683310720574814</v>
          </cell>
        </row>
        <row r="80">
          <cell r="F80">
            <v>3.6208699562736008E-2</v>
          </cell>
          <cell r="G80">
            <v>0.13748067152995933</v>
          </cell>
        </row>
        <row r="81">
          <cell r="F81">
            <v>5.2276347487469531E-2</v>
          </cell>
          <cell r="G81">
            <v>0.13806391244172522</v>
          </cell>
        </row>
        <row r="82">
          <cell r="F82">
            <v>5.2241111845690552E-2</v>
          </cell>
          <cell r="G82">
            <v>0.15256859864460695</v>
          </cell>
        </row>
        <row r="83">
          <cell r="F83">
            <v>4.2196063037191665E-2</v>
          </cell>
          <cell r="G83">
            <v>0.14826071872099475</v>
          </cell>
        </row>
        <row r="84">
          <cell r="F84">
            <v>4.9928169281961324E-2</v>
          </cell>
          <cell r="G84">
            <v>0.15726625045180725</v>
          </cell>
        </row>
        <row r="85">
          <cell r="F85">
            <v>5.5454672531835864E-2</v>
          </cell>
          <cell r="G85">
            <v>0.17986728551562325</v>
          </cell>
        </row>
        <row r="86">
          <cell r="F86">
            <v>4.7741995985421101E-2</v>
          </cell>
          <cell r="G86">
            <v>0.17944648698284948</v>
          </cell>
        </row>
        <row r="87">
          <cell r="F87">
            <v>7.247809595528415E-2</v>
          </cell>
          <cell r="G87">
            <v>0.19418908683311961</v>
          </cell>
        </row>
        <row r="88">
          <cell r="F88">
            <v>6.1362002775687971E-2</v>
          </cell>
          <cell r="G88">
            <v>0.20506872344186303</v>
          </cell>
        </row>
        <row r="89">
          <cell r="F89">
            <v>6.5569857048718469E-2</v>
          </cell>
          <cell r="G89">
            <v>0.22789682954427251</v>
          </cell>
        </row>
        <row r="90">
          <cell r="F90">
            <v>6.8795820262530435E-2</v>
          </cell>
          <cell r="G90">
            <v>0.21735312148676789</v>
          </cell>
        </row>
        <row r="91">
          <cell r="F91">
            <v>5.3282240208468223E-2</v>
          </cell>
          <cell r="G91">
            <v>0.22204669916958222</v>
          </cell>
        </row>
        <row r="92">
          <cell r="F92">
            <v>6.4864167505635631E-2</v>
          </cell>
          <cell r="G92">
            <v>0.24652768523219534</v>
          </cell>
        </row>
        <row r="93">
          <cell r="F93">
            <v>7.1877356524125552E-2</v>
          </cell>
          <cell r="G93">
            <v>0.26090962147626245</v>
          </cell>
        </row>
        <row r="94">
          <cell r="F94">
            <v>7.1351544849466625E-2</v>
          </cell>
          <cell r="G94">
            <v>0.26595901651934079</v>
          </cell>
        </row>
        <row r="95">
          <cell r="F95">
            <v>9.3392786870491504E-2</v>
          </cell>
          <cell r="G95">
            <v>0.29064527487627267</v>
          </cell>
        </row>
        <row r="96">
          <cell r="F96">
            <v>0.12288239860447582</v>
          </cell>
          <cell r="G96">
            <v>0.3352454377304967</v>
          </cell>
        </row>
        <row r="97">
          <cell r="F97">
            <v>0.1588604424932506</v>
          </cell>
          <cell r="G97">
            <v>0.40403867608539989</v>
          </cell>
        </row>
        <row r="98">
          <cell r="F98">
            <v>0.25403624401352065</v>
          </cell>
          <cell r="G98">
            <v>0.49416671695662923</v>
          </cell>
        </row>
        <row r="99">
          <cell r="F99">
            <v>0.37825566976510316</v>
          </cell>
          <cell r="G99">
            <v>0.63960485583653859</v>
          </cell>
        </row>
        <row r="100">
          <cell r="F100">
            <v>0.4257920783723001</v>
          </cell>
          <cell r="G100">
            <v>0.72482881654006071</v>
          </cell>
        </row>
        <row r="101">
          <cell r="F101">
            <v>0.37618224143265888</v>
          </cell>
          <cell r="G101">
            <v>0.72794457003058943</v>
          </cell>
        </row>
        <row r="102">
          <cell r="F102">
            <v>0.29327481168000602</v>
          </cell>
          <cell r="G102">
            <v>0.73520041679094483</v>
          </cell>
        </row>
      </sheetData>
      <sheetData sheetId="15">
        <row r="6">
          <cell r="F6">
            <v>8.9248083024123667E-2</v>
          </cell>
        </row>
        <row r="7">
          <cell r="F7">
            <v>0.11710434393908421</v>
          </cell>
        </row>
        <row r="8">
          <cell r="F8">
            <v>3.913817425677947E-2</v>
          </cell>
        </row>
        <row r="9">
          <cell r="F9">
            <v>6.3318067178923035E-3</v>
          </cell>
        </row>
        <row r="10">
          <cell r="F10">
            <v>-1.0649727916658039E-2</v>
          </cell>
        </row>
        <row r="11">
          <cell r="F11">
            <v>-2.6673893019768087E-2</v>
          </cell>
        </row>
        <row r="12">
          <cell r="F12">
            <v>-1.6436446171645389E-2</v>
          </cell>
        </row>
        <row r="13">
          <cell r="F13">
            <v>1.399793043063657E-2</v>
          </cell>
        </row>
        <row r="14">
          <cell r="F14">
            <v>5.5801319242181804E-2</v>
          </cell>
        </row>
        <row r="15">
          <cell r="F15">
            <v>7.8374457709889767E-2</v>
          </cell>
        </row>
        <row r="16">
          <cell r="F16">
            <v>7.41679062262601E-2</v>
          </cell>
        </row>
        <row r="17">
          <cell r="F17">
            <v>5.2143555219977787E-2</v>
          </cell>
        </row>
        <row r="18">
          <cell r="F18">
            <v>3.9508860562142957E-2</v>
          </cell>
        </row>
        <row r="19">
          <cell r="F19">
            <v>3.1630907207672691E-2</v>
          </cell>
        </row>
        <row r="20">
          <cell r="F20">
            <v>2.2723873991601022E-2</v>
          </cell>
        </row>
        <row r="21">
          <cell r="F21">
            <v>2.1430783171710873E-2</v>
          </cell>
        </row>
        <row r="22">
          <cell r="F22">
            <v>2.3091270352180168E-2</v>
          </cell>
          <cell r="G22">
            <v>0.19699980526397051</v>
          </cell>
        </row>
        <row r="23">
          <cell r="F23">
            <v>3.252319170555993E-2</v>
          </cell>
          <cell r="G23">
            <v>0.23295900754243884</v>
          </cell>
        </row>
        <row r="24">
          <cell r="F24">
            <v>4.3043439981361613E-2</v>
          </cell>
          <cell r="G24">
            <v>0.16263694828435676</v>
          </cell>
        </row>
        <row r="25">
          <cell r="F25">
            <v>6.9609489357575563E-2</v>
          </cell>
          <cell r="G25">
            <v>0.16351356489779312</v>
          </cell>
        </row>
        <row r="26">
          <cell r="F26">
            <v>6.5702956102379792E-2</v>
          </cell>
          <cell r="G26">
            <v>0.17345467834222664</v>
          </cell>
        </row>
        <row r="27">
          <cell r="F27">
            <v>7.7133291588711711E-2</v>
          </cell>
          <cell r="G27">
            <v>0.19298795519206632</v>
          </cell>
        </row>
        <row r="28">
          <cell r="F28">
            <v>9.6751615524812123E-2</v>
          </cell>
          <cell r="G28">
            <v>0.22025038955238951</v>
          </cell>
        </row>
        <row r="29">
          <cell r="F29">
            <v>0.10487496090198913</v>
          </cell>
          <cell r="G29">
            <v>0.26205671908188971</v>
          </cell>
        </row>
        <row r="30">
          <cell r="F30">
            <v>0.11242492317676413</v>
          </cell>
          <cell r="G30">
            <v>0.2965293294356488</v>
          </cell>
        </row>
        <row r="31">
          <cell r="F31">
            <v>0.12499089250142272</v>
          </cell>
          <cell r="G31">
            <v>0.34465274071325708</v>
          </cell>
        </row>
        <row r="32">
          <cell r="F32">
            <v>0.12452990783213734</v>
          </cell>
          <cell r="G32">
            <v>0.36121674355617234</v>
          </cell>
        </row>
        <row r="33">
          <cell r="F33">
            <v>0.14263664871365292</v>
          </cell>
          <cell r="G33">
            <v>0.3906954373649062</v>
          </cell>
        </row>
        <row r="34">
          <cell r="F34">
            <v>0.16284520545850834</v>
          </cell>
          <cell r="G34">
            <v>0.40357321565197535</v>
          </cell>
        </row>
        <row r="35">
          <cell r="F35">
            <v>0.19867891091221856</v>
          </cell>
          <cell r="G35">
            <v>0.46495719391558582</v>
          </cell>
        </row>
        <row r="36">
          <cell r="F36">
            <v>0.22299736316980789</v>
          </cell>
          <cell r="G36">
            <v>0.51004620049972016</v>
          </cell>
        </row>
        <row r="37">
          <cell r="F37">
            <v>0.22818416685934886</v>
          </cell>
          <cell r="G37">
            <v>0.56673604900427721</v>
          </cell>
        </row>
        <row r="38">
          <cell r="F38">
            <v>0.24622160145841196</v>
          </cell>
          <cell r="G38">
            <v>0.61028595654824425</v>
          </cell>
        </row>
        <row r="39">
          <cell r="F39">
            <v>0.22650239007567538</v>
          </cell>
          <cell r="G39">
            <v>0.65982867678358847</v>
          </cell>
        </row>
        <row r="40">
          <cell r="F40">
            <v>0.18989514382517861</v>
          </cell>
          <cell r="G40">
            <v>0.67721747033329771</v>
          </cell>
        </row>
        <row r="41">
          <cell r="F41">
            <v>0.16171972753938668</v>
          </cell>
          <cell r="G41">
            <v>0.70702499337195324</v>
          </cell>
        </row>
        <row r="42">
          <cell r="F42">
            <v>0.108991433074903</v>
          </cell>
          <cell r="G42">
            <v>0.69618611927096707</v>
          </cell>
        </row>
        <row r="43">
          <cell r="F43">
            <v>5.5650405367839509E-2</v>
          </cell>
          <cell r="G43">
            <v>0.68295589044586791</v>
          </cell>
        </row>
        <row r="44">
          <cell r="F44">
            <v>2.4555764946414819E-2</v>
          </cell>
          <cell r="G44">
            <v>0.65872979529835107</v>
          </cell>
        </row>
        <row r="45">
          <cell r="F45">
            <v>-2.4828065162573375E-2</v>
          </cell>
          <cell r="G45">
            <v>0.61258743885180422</v>
          </cell>
        </row>
        <row r="46">
          <cell r="F46">
            <v>-6.462702622351045E-2</v>
          </cell>
          <cell r="G46">
            <v>0.56585613694507675</v>
          </cell>
        </row>
        <row r="47">
          <cell r="F47">
            <v>-5.3566140805060863E-2</v>
          </cell>
          <cell r="G47">
            <v>0.55225645805209533</v>
          </cell>
        </row>
        <row r="48">
          <cell r="F48">
            <v>-4.3894193557225264E-2</v>
          </cell>
          <cell r="G48">
            <v>0.51808398621631357</v>
          </cell>
        </row>
        <row r="49">
          <cell r="F49">
            <v>-4.3309740004644617E-2</v>
          </cell>
          <cell r="G49">
            <v>0.46440273794517056</v>
          </cell>
        </row>
        <row r="50">
          <cell r="F50">
            <v>-3.1755224345285313E-2</v>
          </cell>
          <cell r="G50">
            <v>0.42167598942302736</v>
          </cell>
        </row>
        <row r="51">
          <cell r="F51">
            <v>-4.3983175891748306E-2</v>
          </cell>
          <cell r="G51">
            <v>0.38328238965892431</v>
          </cell>
        </row>
        <row r="52">
          <cell r="F52">
            <v>-6.730368189610679E-2</v>
          </cell>
          <cell r="G52">
            <v>0.32625039648806953</v>
          </cell>
        </row>
        <row r="53">
          <cell r="F53">
            <v>-8.2249726887641844E-2</v>
          </cell>
          <cell r="G53">
            <v>0.23951636234387572</v>
          </cell>
        </row>
        <row r="54">
          <cell r="F54">
            <v>-9.8227661129811281E-2</v>
          </cell>
          <cell r="G54">
            <v>0.16060312283470776</v>
          </cell>
        </row>
        <row r="55">
          <cell r="F55">
            <v>-0.11377636113086635</v>
          </cell>
          <cell r="G55">
            <v>7.0827117615839333E-2</v>
          </cell>
        </row>
        <row r="56">
          <cell r="F56">
            <v>-0.11857448801269505</v>
          </cell>
          <cell r="G56">
            <v>-1.53214546944335E-2</v>
          </cell>
        </row>
        <row r="57">
          <cell r="F57">
            <v>-0.12629797428807601</v>
          </cell>
          <cell r="G57">
            <v>-0.11496577880354909</v>
          </cell>
        </row>
        <row r="58">
          <cell r="F58">
            <v>-8.5452236607547305E-2</v>
          </cell>
          <cell r="G58">
            <v>-0.17107071523125131</v>
          </cell>
        </row>
        <row r="59">
          <cell r="F59">
            <v>-6.4863626219040391E-2</v>
          </cell>
          <cell r="G59">
            <v>-0.2205388986788763</v>
          </cell>
        </row>
        <row r="60">
          <cell r="F60">
            <v>-4.9794231021255672E-2</v>
          </cell>
          <cell r="G60">
            <v>-0.25501082954086784</v>
          </cell>
        </row>
        <row r="61">
          <cell r="F61">
            <v>-1.7448919120898371E-2</v>
          </cell>
          <cell r="G61">
            <v>-0.29413442546383406</v>
          </cell>
        </row>
        <row r="62">
          <cell r="F62">
            <v>-3.7846500977363161E-2</v>
          </cell>
          <cell r="G62">
            <v>-0.31790864928351742</v>
          </cell>
        </row>
        <row r="63">
          <cell r="F63">
            <v>-3.594107290292526E-2</v>
          </cell>
          <cell r="G63">
            <v>-0.31213037694964124</v>
          </cell>
        </row>
        <row r="64">
          <cell r="F64">
            <v>-2.3875320899657337E-2</v>
          </cell>
          <cell r="G64">
            <v>-0.30344191538693999</v>
          </cell>
        </row>
        <row r="65">
          <cell r="F65">
            <v>-2.3226850609816659E-2</v>
          </cell>
          <cell r="G65">
            <v>-0.29253321091107737</v>
          </cell>
        </row>
        <row r="66">
          <cell r="F66">
            <v>-1.4173465613923068E-2</v>
          </cell>
          <cell r="G66">
            <v>-0.26745508867393014</v>
          </cell>
        </row>
        <row r="67">
          <cell r="F67">
            <v>-1.0277493196529687E-3</v>
          </cell>
          <cell r="G67">
            <v>-0.25959198546423334</v>
          </cell>
        </row>
        <row r="68">
          <cell r="F68">
            <v>-7.5714189097791564E-3</v>
          </cell>
          <cell r="G68">
            <v>-0.26711914073949394</v>
          </cell>
        </row>
        <row r="69">
          <cell r="F69">
            <v>7.8023802841850204E-3</v>
          </cell>
          <cell r="G69">
            <v>-0.24142109062224781</v>
          </cell>
        </row>
        <row r="70">
          <cell r="F70">
            <v>1.7815509181879578E-2</v>
          </cell>
          <cell r="G70">
            <v>-0.21788435514676505</v>
          </cell>
        </row>
        <row r="71">
          <cell r="F71">
            <v>2.2495706205097474E-2</v>
          </cell>
          <cell r="G71">
            <v>-0.19311310336738755</v>
          </cell>
        </row>
        <row r="72">
          <cell r="F72">
            <v>4.8649069829228044E-2</v>
          </cell>
          <cell r="G72">
            <v>-0.1511663890141591</v>
          </cell>
        </row>
        <row r="73">
          <cell r="F73">
            <v>6.9182836171361117E-2</v>
          </cell>
          <cell r="G73">
            <v>-8.9988527563244977E-2</v>
          </cell>
        </row>
        <row r="74">
          <cell r="F74">
            <v>8.7346731467861885E-2</v>
          </cell>
          <cell r="G74">
            <v>-3.2309962549091999E-2</v>
          </cell>
        </row>
        <row r="75">
          <cell r="F75">
            <v>0.11154969311282881</v>
          </cell>
          <cell r="G75">
            <v>3.2212950876307551E-2</v>
          </cell>
        </row>
        <row r="76">
          <cell r="F76">
            <v>0.12162024492034819</v>
          </cell>
          <cell r="G76">
            <v>8.9028343918884131E-2</v>
          </cell>
        </row>
        <row r="77">
          <cell r="F77">
            <v>0.11733972857837562</v>
          </cell>
          <cell r="G77">
            <v>0.15364917530320663</v>
          </cell>
        </row>
        <row r="78">
          <cell r="F78">
            <v>9.5688670711544035E-2</v>
          </cell>
          <cell r="G78">
            <v>0.14883094476999928</v>
          </cell>
        </row>
        <row r="79">
          <cell r="F79">
            <v>8.4150198390579023E-2</v>
          </cell>
          <cell r="G79">
            <v>0.18122677548592694</v>
          </cell>
        </row>
        <row r="80">
          <cell r="F80">
            <v>6.1416802270563078E-2</v>
          </cell>
          <cell r="G80">
            <v>0.2002393772107027</v>
          </cell>
        </row>
        <row r="81">
          <cell r="F81">
            <v>5.7540535335349884E-2</v>
          </cell>
          <cell r="G81">
            <v>0.22863862975945481</v>
          </cell>
        </row>
        <row r="82">
          <cell r="F82">
            <v>7.8069655421922665E-2</v>
          </cell>
          <cell r="G82">
            <v>0.26474710116928518</v>
          </cell>
        </row>
        <row r="83">
          <cell r="F83">
            <v>7.9907564481168952E-2</v>
          </cell>
          <cell r="G83">
            <v>0.2970754128700212</v>
          </cell>
        </row>
        <row r="84">
          <cell r="F84">
            <v>9.6359259171012152E-2</v>
          </cell>
          <cell r="G84">
            <v>0.32047395728137218</v>
          </cell>
        </row>
        <row r="85">
          <cell r="F85">
            <v>9.4811873113935699E-2</v>
          </cell>
          <cell r="G85">
            <v>0.34667735348320727</v>
          </cell>
        </row>
        <row r="86">
          <cell r="F86">
            <v>0.10426992117579666</v>
          </cell>
          <cell r="G86">
            <v>0.38319048795900484</v>
          </cell>
        </row>
        <row r="87">
          <cell r="F87">
            <v>9.1991640737068628E-2</v>
          </cell>
          <cell r="G87">
            <v>0.39009480292674287</v>
          </cell>
        </row>
        <row r="88">
          <cell r="F88">
            <v>9.406939584116504E-2</v>
          </cell>
          <cell r="G88">
            <v>0.42211477203231645</v>
          </cell>
        </row>
        <row r="89">
          <cell r="F89">
            <v>0.10246728130750053</v>
          </cell>
          <cell r="G89">
            <v>0.44134225450652287</v>
          </cell>
        </row>
        <row r="90">
          <cell r="F90">
            <v>0.10396301740265884</v>
          </cell>
          <cell r="G90">
            <v>0.46933799617978417</v>
          </cell>
        </row>
        <row r="91">
          <cell r="F91">
            <v>0.13803524478459653</v>
          </cell>
          <cell r="G91">
            <v>0.50563434150624187</v>
          </cell>
        </row>
        <row r="92">
          <cell r="F92">
            <v>0.15658497321671724</v>
          </cell>
          <cell r="G92">
            <v>0.53005067541980555</v>
          </cell>
        </row>
        <row r="93">
          <cell r="F93">
            <v>0.17852363482306194</v>
          </cell>
          <cell r="G93">
            <v>0.55068305315822375</v>
          </cell>
        </row>
        <row r="94">
          <cell r="F94">
            <v>0.18353884239770638</v>
          </cell>
          <cell r="G94">
            <v>0.5655301071096287</v>
          </cell>
        </row>
        <row r="95">
          <cell r="F95">
            <v>0.16398832617349932</v>
          </cell>
          <cell r="G95">
            <v>0.55807297456691252</v>
          </cell>
        </row>
        <row r="96">
          <cell r="F96">
            <v>0.1789819309347771</v>
          </cell>
          <cell r="G96">
            <v>0.58741236143423448</v>
          </cell>
        </row>
        <row r="97">
          <cell r="F97">
            <v>0.19301981149216399</v>
          </cell>
          <cell r="G97">
            <v>0.62636313607201199</v>
          </cell>
        </row>
        <row r="98">
          <cell r="F98">
            <v>0.22735203923499706</v>
          </cell>
          <cell r="G98">
            <v>0.69719347563308176</v>
          </cell>
        </row>
        <row r="99">
          <cell r="F99">
            <v>0.2724972407163081</v>
          </cell>
          <cell r="G99">
            <v>0.74642001689264159</v>
          </cell>
        </row>
        <row r="100">
          <cell r="F100">
            <v>0.2594663386645974</v>
          </cell>
          <cell r="G100">
            <v>0.78546189782826892</v>
          </cell>
        </row>
        <row r="101">
          <cell r="F101">
            <v>0.22987789199513389</v>
          </cell>
          <cell r="G101">
            <v>0.79870049273179611</v>
          </cell>
        </row>
        <row r="102">
          <cell r="F102">
            <v>0.21608699961225425</v>
          </cell>
          <cell r="G102">
            <v>0.83521081982341316</v>
          </cell>
        </row>
      </sheetData>
      <sheetData sheetId="16">
        <row r="6">
          <cell r="F6">
            <v>0.16455960627241556</v>
          </cell>
        </row>
        <row r="7">
          <cell r="F7">
            <v>0.13077407218369838</v>
          </cell>
        </row>
        <row r="8">
          <cell r="F8">
            <v>0.10175814449222349</v>
          </cell>
        </row>
        <row r="9">
          <cell r="F9">
            <v>5.4720577430261146E-2</v>
          </cell>
        </row>
        <row r="10">
          <cell r="F10">
            <v>2.622868767430267E-2</v>
          </cell>
        </row>
        <row r="11">
          <cell r="F11">
            <v>-9.4472361136490688E-3</v>
          </cell>
        </row>
        <row r="12">
          <cell r="F12">
            <v>-3.9076368871298089E-2</v>
          </cell>
        </row>
        <row r="13">
          <cell r="F13">
            <v>-4.4003918695863432E-2</v>
          </cell>
        </row>
        <row r="14">
          <cell r="F14">
            <v>-2.4972518823611563E-2</v>
          </cell>
        </row>
        <row r="15">
          <cell r="F15">
            <v>-8.2958731887057702E-3</v>
          </cell>
        </row>
        <row r="16">
          <cell r="F16">
            <v>1.525122662876149E-2</v>
          </cell>
        </row>
        <row r="17">
          <cell r="F17">
            <v>1.8969788597238847E-2</v>
          </cell>
        </row>
        <row r="18">
          <cell r="F18">
            <v>8.9629834807383182E-4</v>
          </cell>
        </row>
        <row r="19">
          <cell r="F19">
            <v>2.1246466915940121E-3</v>
          </cell>
        </row>
        <row r="20">
          <cell r="F20">
            <v>-1.761494202169847E-3</v>
          </cell>
        </row>
        <row r="21">
          <cell r="F21">
            <v>7.4179075571455299E-3</v>
          </cell>
        </row>
        <row r="22">
          <cell r="F22">
            <v>1.0516093703670891E-2</v>
          </cell>
          <cell r="G22">
            <v>0.17722816717485165</v>
          </cell>
        </row>
        <row r="23">
          <cell r="F23">
            <v>-5.4979299613339789E-3</v>
          </cell>
          <cell r="G23">
            <v>0.10965767961160353</v>
          </cell>
        </row>
        <row r="24">
          <cell r="F24">
            <v>-4.2402890388854161E-3</v>
          </cell>
          <cell r="G24">
            <v>7.1931219008631406E-2</v>
          </cell>
        </row>
        <row r="25">
          <cell r="F25">
            <v>-9.3698201633854346E-3</v>
          </cell>
          <cell r="G25">
            <v>2.7734534725396578E-2</v>
          </cell>
        </row>
        <row r="26">
          <cell r="F26">
            <v>-3.5524016043677721E-3</v>
          </cell>
          <cell r="G26">
            <v>9.1161592980682962E-3</v>
          </cell>
        </row>
        <row r="27">
          <cell r="F27">
            <v>2.2160597331089209E-2</v>
          </cell>
          <cell r="G27">
            <v>1.0442047589945339E-3</v>
          </cell>
        </row>
        <row r="28">
          <cell r="F28">
            <v>3.4969206269947803E-2</v>
          </cell>
          <cell r="G28">
            <v>5.1422807863558675E-3</v>
          </cell>
        </row>
        <row r="29">
          <cell r="F29">
            <v>3.5593429293930862E-2</v>
          </cell>
          <cell r="G29">
            <v>8.6073865890660822E-3</v>
          </cell>
        </row>
        <row r="30">
          <cell r="F30">
            <v>4.4204168870828689E-2</v>
          </cell>
          <cell r="G30">
            <v>2.709164049459413E-2</v>
          </cell>
        </row>
        <row r="31">
          <cell r="F31">
            <v>5.0701712236077848E-2</v>
          </cell>
          <cell r="G31">
            <v>6.1193153108721456E-2</v>
          </cell>
        </row>
        <row r="32">
          <cell r="F32">
            <v>2.465508201858892E-2</v>
          </cell>
          <cell r="G32">
            <v>6.8873731676242902E-2</v>
          </cell>
        </row>
        <row r="33">
          <cell r="F33">
            <v>4.540523611713828E-2</v>
          </cell>
          <cell r="G33">
            <v>9.8016541402067711E-2</v>
          </cell>
        </row>
        <row r="34">
          <cell r="F34">
            <v>2.5381646600290353E-2</v>
          </cell>
          <cell r="G34">
            <v>7.7445805918495966E-2</v>
          </cell>
        </row>
        <row r="35">
          <cell r="F35">
            <v>3.3493620158417621E-2</v>
          </cell>
          <cell r="G35">
            <v>0.10298264645584501</v>
          </cell>
        </row>
        <row r="36">
          <cell r="F36">
            <v>7.825757771338103E-2</v>
          </cell>
          <cell r="G36">
            <v>0.13188008276086241</v>
          </cell>
        </row>
        <row r="37">
          <cell r="F37">
            <v>6.7605067545550693E-2</v>
          </cell>
          <cell r="G37">
            <v>0.14665182035037955</v>
          </cell>
        </row>
        <row r="38">
          <cell r="F38">
            <v>0.10604078214941171</v>
          </cell>
          <cell r="G38">
            <v>0.18259028971983382</v>
          </cell>
        </row>
        <row r="39">
          <cell r="F39">
            <v>8.0903324666055668E-2</v>
          </cell>
          <cell r="G39">
            <v>0.18176132443030646</v>
          </cell>
        </row>
        <row r="40">
          <cell r="F40">
            <v>6.2193107371113027E-2</v>
          </cell>
          <cell r="G40">
            <v>0.19583468433414519</v>
          </cell>
        </row>
        <row r="41">
          <cell r="F41">
            <v>6.5188952549555965E-2</v>
          </cell>
          <cell r="G41">
            <v>0.20442286534279003</v>
          </cell>
        </row>
        <row r="42">
          <cell r="F42">
            <v>4.3094377115053678E-2</v>
          </cell>
          <cell r="G42">
            <v>0.21516857313121665</v>
          </cell>
        </row>
        <row r="43">
          <cell r="F43">
            <v>4.5406661305573283E-2</v>
          </cell>
          <cell r="G43">
            <v>0.23266591569721362</v>
          </cell>
        </row>
        <row r="44">
          <cell r="F44">
            <v>1.4390808143430998E-2</v>
          </cell>
          <cell r="G44">
            <v>0.2144657815164617</v>
          </cell>
        </row>
        <row r="45">
          <cell r="F45">
            <v>-1.5029184622545272E-2</v>
          </cell>
          <cell r="G45">
            <v>0.19876350088363021</v>
          </cell>
        </row>
        <row r="46">
          <cell r="F46">
            <v>-7.7508641224708708E-3</v>
          </cell>
          <cell r="G46">
            <v>0.21097011061311352</v>
          </cell>
        </row>
        <row r="47">
          <cell r="F47">
            <v>-1.8059502550896573E-2</v>
          </cell>
          <cell r="G47">
            <v>0.19244581581522777</v>
          </cell>
        </row>
        <row r="48">
          <cell r="F48">
            <v>1.164785896223431E-2</v>
          </cell>
          <cell r="G48">
            <v>0.19114443420874822</v>
          </cell>
        </row>
        <row r="49">
          <cell r="F49">
            <v>2.813852026642974E-2</v>
          </cell>
          <cell r="G49">
            <v>0.19130859185612914</v>
          </cell>
        </row>
        <row r="50">
          <cell r="F50">
            <v>1.7143276986437438E-2</v>
          </cell>
          <cell r="G50">
            <v>0.18390921872872232</v>
          </cell>
        </row>
        <row r="51">
          <cell r="F51">
            <v>2.6898563957666287E-2</v>
          </cell>
          <cell r="G51">
            <v>0.16864266753681614</v>
          </cell>
        </row>
        <row r="52">
          <cell r="F52">
            <v>1.3187620976047785E-2</v>
          </cell>
          <cell r="G52">
            <v>0.17967697316620729</v>
          </cell>
        </row>
        <row r="53">
          <cell r="F53">
            <v>2.1150728924175285E-2</v>
          </cell>
          <cell r="G53">
            <v>0.16705408466316624</v>
          </cell>
        </row>
        <row r="54">
          <cell r="F54">
            <v>2.448530857829655E-2</v>
          </cell>
          <cell r="G54">
            <v>0.18301288070672844</v>
          </cell>
        </row>
        <row r="55">
          <cell r="F55">
            <v>6.0304118212134702E-2</v>
          </cell>
          <cell r="G55">
            <v>0.19545316559053325</v>
          </cell>
        </row>
        <row r="56">
          <cell r="F56">
            <v>9.423262764478893E-2</v>
          </cell>
          <cell r="G56">
            <v>0.19565202309761529</v>
          </cell>
        </row>
        <row r="57">
          <cell r="F57">
            <v>7.5908152657869668E-2</v>
          </cell>
          <cell r="G57">
            <v>0.17535716977548541</v>
          </cell>
        </row>
        <row r="58">
          <cell r="F58">
            <v>9.6754132718676708E-2</v>
          </cell>
          <cell r="G58">
            <v>0.17372623127599332</v>
          </cell>
        </row>
        <row r="59">
          <cell r="F59">
            <v>6.4176803963570783E-2</v>
          </cell>
          <cell r="G59">
            <v>0.17872664488804843</v>
          </cell>
        </row>
        <row r="60">
          <cell r="F60">
            <v>4.0761109866213473E-2</v>
          </cell>
          <cell r="G60">
            <v>0.1742200255927156</v>
          </cell>
        </row>
        <row r="61">
          <cell r="F61">
            <v>6.1893389167859032E-2</v>
          </cell>
          <cell r="G61">
            <v>0.17206160639378865</v>
          </cell>
        </row>
        <row r="62">
          <cell r="F62">
            <v>3.7070927907645698E-2</v>
          </cell>
          <cell r="G62">
            <v>0.1677027820685853</v>
          </cell>
        </row>
        <row r="63">
          <cell r="F63">
            <v>3.4546796510937075E-2</v>
          </cell>
          <cell r="G63">
            <v>0.16786678009341233</v>
          </cell>
        </row>
        <row r="64">
          <cell r="F64">
            <v>2.4419328486082151E-2</v>
          </cell>
          <cell r="G64">
            <v>0.18424854593536691</v>
          </cell>
        </row>
        <row r="65">
          <cell r="F65">
            <v>3.7914741517779425E-2</v>
          </cell>
          <cell r="G65">
            <v>0.22500553253411332</v>
          </cell>
        </row>
        <row r="66">
          <cell r="F66">
            <v>2.9895634367950924E-2</v>
          </cell>
          <cell r="G66">
            <v>0.20534928055900706</v>
          </cell>
        </row>
        <row r="67">
          <cell r="F67">
            <v>2.1686176907593762E-2</v>
          </cell>
          <cell r="G67">
            <v>0.20761245955190258</v>
          </cell>
        </row>
        <row r="68">
          <cell r="F68">
            <v>2.9968296752253869E-2</v>
          </cell>
          <cell r="G68">
            <v>0.20256898372538645</v>
          </cell>
        </row>
        <row r="69">
          <cell r="F69">
            <v>1.5459468016677374E-2</v>
          </cell>
          <cell r="G69">
            <v>0.21232648028436085</v>
          </cell>
        </row>
        <row r="70">
          <cell r="F70">
            <v>2.9825352569304877E-2</v>
          </cell>
          <cell r="G70">
            <v>0.21803135614187466</v>
          </cell>
        </row>
        <row r="71">
          <cell r="F71">
            <v>2.9863250527583068E-2</v>
          </cell>
          <cell r="G71">
            <v>0.21057714612181935</v>
          </cell>
        </row>
        <row r="72">
          <cell r="F72">
            <v>2.1223982432422434E-2</v>
          </cell>
          <cell r="G72">
            <v>0.21060534518176102</v>
          </cell>
        </row>
        <row r="73">
          <cell r="F73">
            <v>3.243892942634391E-2</v>
          </cell>
          <cell r="G73">
            <v>0.22361468078652935</v>
          </cell>
        </row>
        <row r="74">
          <cell r="F74">
            <v>3.7993396439214802E-2</v>
          </cell>
          <cell r="G74">
            <v>0.23153944400279289</v>
          </cell>
        </row>
        <row r="75">
          <cell r="F75">
            <v>5.3858745850261812E-2</v>
          </cell>
          <cell r="G75">
            <v>0.20413177375994629</v>
          </cell>
        </row>
        <row r="76">
          <cell r="F76">
            <v>6.1096055281669837E-2</v>
          </cell>
          <cell r="G76">
            <v>0.17746877281864207</v>
          </cell>
        </row>
        <row r="77">
          <cell r="F77">
            <v>5.5611785150707284E-2</v>
          </cell>
          <cell r="G77">
            <v>0.203318313279367</v>
          </cell>
        </row>
        <row r="78">
          <cell r="F78">
            <v>6.2274446896784429E-2</v>
          </cell>
          <cell r="G78">
            <v>0.1970597581809008</v>
          </cell>
        </row>
        <row r="79">
          <cell r="F79">
            <v>5.0392180807726443E-2</v>
          </cell>
          <cell r="G79">
            <v>0.19034715060410198</v>
          </cell>
        </row>
        <row r="80">
          <cell r="F80">
            <v>6.1480211460412111E-2</v>
          </cell>
          <cell r="G80">
            <v>0.19818787441284072</v>
          </cell>
        </row>
        <row r="81">
          <cell r="F81">
            <v>3.2184314710471174E-2</v>
          </cell>
          <cell r="G81">
            <v>0.17360923882197907</v>
          </cell>
        </row>
        <row r="82">
          <cell r="F82">
            <v>2.9840842011021173E-2</v>
          </cell>
          <cell r="G82">
            <v>0.1898296722842763</v>
          </cell>
        </row>
        <row r="83">
          <cell r="F83">
            <v>6.5220130143362254E-2</v>
          </cell>
          <cell r="G83">
            <v>0.22102048423652734</v>
          </cell>
        </row>
        <row r="84">
          <cell r="F84">
            <v>4.3869682792095979E-2</v>
          </cell>
          <cell r="G84">
            <v>0.2176382287188543</v>
          </cell>
        </row>
        <row r="85">
          <cell r="F85">
            <v>8.1829293157820754E-2</v>
          </cell>
          <cell r="G85">
            <v>0.21752379046202033</v>
          </cell>
        </row>
        <row r="86">
          <cell r="F86">
            <v>7.2041552864970534E-2</v>
          </cell>
          <cell r="G86">
            <v>0.23197559078129587</v>
          </cell>
        </row>
        <row r="87">
          <cell r="F87">
            <v>9.1403601961912745E-2</v>
          </cell>
          <cell r="G87">
            <v>0.29073790929084609</v>
          </cell>
        </row>
        <row r="88">
          <cell r="F88">
            <v>0.12720225757287512</v>
          </cell>
          <cell r="G88">
            <v>0.31487218953947549</v>
          </cell>
        </row>
        <row r="89">
          <cell r="F89">
            <v>0.12528968449143449</v>
          </cell>
          <cell r="G89">
            <v>0.32735400693677746</v>
          </cell>
        </row>
        <row r="90">
          <cell r="F90">
            <v>0.15118199524940987</v>
          </cell>
          <cell r="G90">
            <v>0.35333223346140091</v>
          </cell>
        </row>
        <row r="91">
          <cell r="F91">
            <v>0.12497338817302654</v>
          </cell>
          <cell r="G91">
            <v>0.38584804693628971</v>
          </cell>
        </row>
        <row r="92">
          <cell r="F92">
            <v>0.13983513542185191</v>
          </cell>
          <cell r="G92">
            <v>0.43348334252890491</v>
          </cell>
        </row>
        <row r="93">
          <cell r="F93">
            <v>0.16388785510511644</v>
          </cell>
          <cell r="G93">
            <v>0.45880293261555016</v>
          </cell>
        </row>
        <row r="94">
          <cell r="F94">
            <v>0.19014358988963798</v>
          </cell>
          <cell r="G94">
            <v>0.50548242691182399</v>
          </cell>
        </row>
        <row r="95">
          <cell r="F95">
            <v>0.16207645587064073</v>
          </cell>
          <cell r="G95">
            <v>0.49406575695666866</v>
          </cell>
        </row>
        <row r="96">
          <cell r="F96">
            <v>0.15495544996250968</v>
          </cell>
          <cell r="G96">
            <v>0.52734273720974467</v>
          </cell>
        </row>
        <row r="97">
          <cell r="F97">
            <v>0.14095508559647454</v>
          </cell>
          <cell r="G97">
            <v>0.54414623306131737</v>
          </cell>
        </row>
        <row r="98">
          <cell r="F98">
            <v>0.13098996897076465</v>
          </cell>
          <cell r="G98">
            <v>0.57419794898580412</v>
          </cell>
        </row>
        <row r="99">
          <cell r="F99">
            <v>0.1766902032390627</v>
          </cell>
          <cell r="G99">
            <v>0.62036377938800502</v>
          </cell>
        </row>
        <row r="100">
          <cell r="F100">
            <v>0.19118332222586545</v>
          </cell>
          <cell r="G100">
            <v>0.65704584797519816</v>
          </cell>
        </row>
        <row r="101">
          <cell r="F101">
            <v>0.21148000586075963</v>
          </cell>
          <cell r="G101">
            <v>0.72344192421160591</v>
          </cell>
        </row>
        <row r="102">
          <cell r="F102">
            <v>0.23404991753598578</v>
          </cell>
          <cell r="G102">
            <v>0.77840702451076871</v>
          </cell>
        </row>
      </sheetData>
      <sheetData sheetId="17">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v>0.22674595122221705</v>
          </cell>
          <cell r="G26" t="str">
            <v/>
          </cell>
        </row>
        <row r="27">
          <cell r="F27">
            <v>0.23573223054256126</v>
          </cell>
          <cell r="G27" t="str">
            <v/>
          </cell>
        </row>
        <row r="28">
          <cell r="F28">
            <v>0.24316970755651576</v>
          </cell>
          <cell r="G28" t="str">
            <v/>
          </cell>
        </row>
        <row r="29">
          <cell r="F29">
            <v>0.25295916549378439</v>
          </cell>
          <cell r="G29" t="str">
            <v/>
          </cell>
        </row>
        <row r="30">
          <cell r="F30">
            <v>0.24147261953513571</v>
          </cell>
          <cell r="G30" t="str">
            <v/>
          </cell>
        </row>
        <row r="31">
          <cell r="F31">
            <v>0.22953434541354051</v>
          </cell>
          <cell r="G31" t="str">
            <v/>
          </cell>
        </row>
        <row r="32">
          <cell r="F32">
            <v>0.17943346814388136</v>
          </cell>
          <cell r="G32" t="str">
            <v/>
          </cell>
        </row>
        <row r="33">
          <cell r="F33">
            <v>0.14044050171263611</v>
          </cell>
          <cell r="G33" t="str">
            <v/>
          </cell>
        </row>
        <row r="34">
          <cell r="F34">
            <v>8.6770500196943948E-2</v>
          </cell>
          <cell r="G34" t="str">
            <v/>
          </cell>
        </row>
        <row r="35">
          <cell r="F35">
            <v>4.2823718757079549E-2</v>
          </cell>
          <cell r="G35" t="str">
            <v/>
          </cell>
        </row>
        <row r="36">
          <cell r="F36">
            <v>2.4757274920765585E-2</v>
          </cell>
          <cell r="G36" t="str">
            <v/>
          </cell>
        </row>
        <row r="37">
          <cell r="F37">
            <v>5.9484862856888665E-4</v>
          </cell>
          <cell r="G37" t="str">
            <v/>
          </cell>
        </row>
        <row r="38">
          <cell r="F38">
            <v>-1.5671150214578119E-3</v>
          </cell>
          <cell r="G38" t="str">
            <v/>
          </cell>
        </row>
        <row r="39">
          <cell r="F39">
            <v>-1.3790014078050665E-2</v>
          </cell>
          <cell r="G39" t="str">
            <v/>
          </cell>
        </row>
        <row r="40">
          <cell r="F40">
            <v>-3.6393769861574408E-2</v>
          </cell>
          <cell r="G40" t="str">
            <v/>
          </cell>
        </row>
        <row r="41">
          <cell r="F41">
            <v>-3.8307714269150965E-2</v>
          </cell>
          <cell r="G41" t="str">
            <v/>
          </cell>
        </row>
        <row r="42">
          <cell r="F42">
            <v>-4.1380118634391012E-2</v>
          </cell>
          <cell r="G42">
            <v>0.51204183729844788</v>
          </cell>
        </row>
        <row r="43">
          <cell r="F43">
            <v>-5.3825762860313368E-2</v>
          </cell>
          <cell r="G43">
            <v>0.44047451777481733</v>
          </cell>
        </row>
        <row r="44">
          <cell r="F44">
            <v>-6.3417472108313014E-2</v>
          </cell>
          <cell r="G44">
            <v>0.34754920865127548</v>
          </cell>
        </row>
        <row r="45">
          <cell r="F45">
            <v>-7.091902446055548E-2</v>
          </cell>
          <cell r="G45">
            <v>0.28476777710528295</v>
          </cell>
        </row>
        <row r="46">
          <cell r="F46">
            <v>-9.2409825585542477E-2</v>
          </cell>
          <cell r="G46">
            <v>0.19288606049068838</v>
          </cell>
        </row>
        <row r="47">
          <cell r="F47">
            <v>-7.2247397189113188E-2</v>
          </cell>
          <cell r="G47">
            <v>0.13249489004314263</v>
          </cell>
        </row>
        <row r="48">
          <cell r="F48">
            <v>-3.4089706016553901E-2</v>
          </cell>
          <cell r="G48">
            <v>7.0289795078205736E-2</v>
          </cell>
        </row>
        <row r="49">
          <cell r="F49">
            <v>-1.8882382239213055E-2</v>
          </cell>
          <cell r="G49">
            <v>1.2926229372285629E-2</v>
          </cell>
        </row>
        <row r="50">
          <cell r="F50">
            <v>1.3560922835289547E-2</v>
          </cell>
          <cell r="G50">
            <v>-3.5025636209157801E-2</v>
          </cell>
        </row>
        <row r="51">
          <cell r="F51">
            <v>1.7514533655719047E-2</v>
          </cell>
          <cell r="G51">
            <v>-7.9524921714678787E-2</v>
          </cell>
        </row>
        <row r="52">
          <cell r="F52">
            <v>2.9526259539655801E-3</v>
          </cell>
          <cell r="G52">
            <v>-0.1061910471117101</v>
          </cell>
        </row>
        <row r="53">
          <cell r="F53">
            <v>6.7367541227777977E-3</v>
          </cell>
          <cell r="G53">
            <v>-0.12077751821757274</v>
          </cell>
        </row>
        <row r="54">
          <cell r="F54">
            <v>1.0287042530143006E-2</v>
          </cell>
          <cell r="G54">
            <v>-0.11150909387595859</v>
          </cell>
        </row>
        <row r="55">
          <cell r="F55">
            <v>1.5094122141826134E-2</v>
          </cell>
          <cell r="G55">
            <v>-0.10725451832993228</v>
          </cell>
        </row>
        <row r="56">
          <cell r="F56">
            <v>1.8061579966467765E-2</v>
          </cell>
          <cell r="G56">
            <v>-0.11288674206600798</v>
          </cell>
        </row>
        <row r="57">
          <cell r="F57">
            <v>1.8888563693267277E-2</v>
          </cell>
          <cell r="G57">
            <v>-0.10248380315287417</v>
          </cell>
        </row>
        <row r="58">
          <cell r="F58">
            <v>2.2371106054722163E-2</v>
          </cell>
          <cell r="G58">
            <v>-8.7570872799778599E-2</v>
          </cell>
        </row>
        <row r="59">
          <cell r="F59">
            <v>2.7072862493761628E-2</v>
          </cell>
          <cell r="G59">
            <v>-6.6391641758119832E-2</v>
          </cell>
        </row>
        <row r="60">
          <cell r="F60">
            <v>2.9949733160343293E-2</v>
          </cell>
          <cell r="G60">
            <v>-4.654323904409019E-2</v>
          </cell>
        </row>
        <row r="61">
          <cell r="F61">
            <v>2.2669027001767438E-2</v>
          </cell>
          <cell r="G61">
            <v>-4.1507061881955874E-2</v>
          </cell>
        </row>
        <row r="62">
          <cell r="F62">
            <v>1.671493603243401E-2</v>
          </cell>
          <cell r="G62">
            <v>-2.9475818132953576E-2</v>
          </cell>
        </row>
        <row r="63">
          <cell r="F63">
            <v>3.3492237928824707E-3</v>
          </cell>
          <cell r="G63">
            <v>-9.2166551049239522E-3</v>
          </cell>
        </row>
        <row r="64">
          <cell r="F64">
            <v>5.1079045932420704E-4</v>
          </cell>
          <cell r="G64">
            <v>1.7385023523547143E-2</v>
          </cell>
        </row>
        <row r="65">
          <cell r="F65">
            <v>2.829947862418373E-3</v>
          </cell>
          <cell r="G65">
            <v>3.2241910441018026E-2</v>
          </cell>
        </row>
        <row r="66">
          <cell r="F66">
            <v>9.4091046676953102E-3</v>
          </cell>
          <cell r="G66">
            <v>7.2343112120284214E-2</v>
          </cell>
        </row>
        <row r="67">
          <cell r="F67">
            <v>1.2015995271173831E-2</v>
          </cell>
          <cell r="G67">
            <v>7.5046737355363158E-2</v>
          </cell>
        </row>
        <row r="68">
          <cell r="F68">
            <v>1.6083421471190035E-2</v>
          </cell>
          <cell r="G68">
            <v>6.755815101129109E-2</v>
          </cell>
        </row>
        <row r="69">
          <cell r="F69">
            <v>1.5928976493600852E-2</v>
          </cell>
          <cell r="G69">
            <v>6.7053269173831836E-2</v>
          </cell>
        </row>
        <row r="70">
          <cell r="F70">
            <v>1.616119668998502E-2</v>
          </cell>
          <cell r="G70">
            <v>7.4943385974979571E-2</v>
          </cell>
        </row>
        <row r="71">
          <cell r="F71">
            <v>2.4971496437057514E-2</v>
          </cell>
          <cell r="G71">
            <v>8.250370013670183E-2</v>
          </cell>
        </row>
        <row r="72">
          <cell r="F72">
            <v>2.7263150758363996E-2</v>
          </cell>
          <cell r="G72">
            <v>9.1868675815689457E-2</v>
          </cell>
        </row>
        <row r="73">
          <cell r="F73">
            <v>3.8564074390433786E-2</v>
          </cell>
          <cell r="G73">
            <v>9.8880589441487823E-2</v>
          </cell>
        </row>
        <row r="74">
          <cell r="F74">
            <v>4.9619336666782726E-2</v>
          </cell>
          <cell r="G74">
            <v>0.11427568011161908</v>
          </cell>
        </row>
        <row r="75">
          <cell r="F75">
            <v>6.0121480820612257E-2</v>
          </cell>
          <cell r="G75">
            <v>0.12753105881548776</v>
          </cell>
        </row>
        <row r="76">
          <cell r="F76">
            <v>7.2832272311872406E-2</v>
          </cell>
          <cell r="G76">
            <v>0.14663936816109424</v>
          </cell>
        </row>
        <row r="77">
          <cell r="F77">
            <v>7.3160471441752264E-2</v>
          </cell>
          <cell r="G77">
            <v>0.15315249718997287</v>
          </cell>
        </row>
        <row r="78">
          <cell r="F78">
            <v>7.2613935143116495E-2</v>
          </cell>
          <cell r="G78">
            <v>0.16451850920001343</v>
          </cell>
        </row>
        <row r="79">
          <cell r="F79">
            <v>8.1970881573348253E-2</v>
          </cell>
          <cell r="G79">
            <v>0.1824290778950744</v>
          </cell>
        </row>
        <row r="80">
          <cell r="F80">
            <v>9.1604133056902487E-2</v>
          </cell>
          <cell r="G80">
            <v>0.20829376805765334</v>
          </cell>
        </row>
        <row r="81">
          <cell r="F81">
            <v>0.10354994596552307</v>
          </cell>
          <cell r="G81">
            <v>0.23403341615372847</v>
          </cell>
        </row>
        <row r="82">
          <cell r="F82">
            <v>0.11070812198442172</v>
          </cell>
          <cell r="G82">
            <v>0.25851169515200106</v>
          </cell>
        </row>
        <row r="83">
          <cell r="F83">
            <v>0.11676709729024008</v>
          </cell>
          <cell r="G83">
            <v>0.295846951392432</v>
          </cell>
        </row>
        <row r="84">
          <cell r="F84">
            <v>0.11609916466281187</v>
          </cell>
          <cell r="G84">
            <v>0.32388214226114098</v>
          </cell>
        </row>
        <row r="85">
          <cell r="F85">
            <v>0.11766976613142807</v>
          </cell>
          <cell r="G85">
            <v>0.34887323442273804</v>
          </cell>
        </row>
        <row r="86">
          <cell r="F86">
            <v>0.12292534683729825</v>
          </cell>
          <cell r="G86">
            <v>0.372027937321604</v>
          </cell>
        </row>
        <row r="87">
          <cell r="F87">
            <v>0.10738658768390805</v>
          </cell>
          <cell r="G87">
            <v>0.39121754380516621</v>
          </cell>
        </row>
        <row r="88">
          <cell r="F88">
            <v>0.11419568926942421</v>
          </cell>
          <cell r="G88">
            <v>0.42199441005937505</v>
          </cell>
        </row>
        <row r="89">
          <cell r="F89">
            <v>0.11047654102572178</v>
          </cell>
          <cell r="G89">
            <v>0.44342079895485897</v>
          </cell>
        </row>
        <row r="90">
          <cell r="F90">
            <v>0.10181692584060854</v>
          </cell>
          <cell r="G90">
            <v>0.45768366647222758</v>
          </cell>
        </row>
        <row r="91">
          <cell r="F91">
            <v>0.11581436177253078</v>
          </cell>
          <cell r="G91">
            <v>0.48206040914063952</v>
          </cell>
        </row>
        <row r="92">
          <cell r="F92">
            <v>0.12766530400567055</v>
          </cell>
          <cell r="G92">
            <v>0.5223965633066816</v>
          </cell>
        </row>
        <row r="93">
          <cell r="F93">
            <v>0.15017841076214417</v>
          </cell>
          <cell r="G93">
            <v>0.55503513532656923</v>
          </cell>
        </row>
        <row r="94">
          <cell r="F94">
            <v>0.15636183451732219</v>
          </cell>
          <cell r="G94">
            <v>0.56442616432276704</v>
          </cell>
        </row>
        <row r="95">
          <cell r="F95">
            <v>0.13742675748905722</v>
          </cell>
          <cell r="G95">
            <v>0.55936568580908452</v>
          </cell>
        </row>
        <row r="96">
          <cell r="F96">
            <v>0.11784748318000966</v>
          </cell>
          <cell r="G96">
            <v>0.56741177417481881</v>
          </cell>
        </row>
        <row r="97">
          <cell r="F97">
            <v>0.11367028306525462</v>
          </cell>
          <cell r="G97">
            <v>0.59554494695007154</v>
          </cell>
        </row>
        <row r="98">
          <cell r="F98">
            <v>0.11845832429205101</v>
          </cell>
          <cell r="G98">
            <v>0.61027055347170167</v>
          </cell>
        </row>
        <row r="99">
          <cell r="F99">
            <v>0.1289853224873678</v>
          </cell>
          <cell r="G99">
            <v>0.60638012672310404</v>
          </cell>
        </row>
        <row r="100">
          <cell r="F100">
            <v>0.13117636290473328</v>
          </cell>
          <cell r="G100">
            <v>0.60698400402264974</v>
          </cell>
        </row>
        <row r="101">
          <cell r="F101">
            <v>0.12497981817531567</v>
          </cell>
          <cell r="G101">
            <v>0.61697481915986407</v>
          </cell>
        </row>
        <row r="102">
          <cell r="F102">
            <v>0.1274449465681203</v>
          </cell>
          <cell r="G102">
            <v>0.62700737805540019</v>
          </cell>
        </row>
      </sheetData>
      <sheetData sheetId="18">
        <row r="6">
          <cell r="F6">
            <v>2.3905520853554605E-2</v>
          </cell>
        </row>
        <row r="7">
          <cell r="F7">
            <v>4.9999052416871227E-2</v>
          </cell>
        </row>
        <row r="8">
          <cell r="F8">
            <v>5.983397352310257E-3</v>
          </cell>
        </row>
        <row r="9">
          <cell r="F9">
            <v>-3.211694419367974E-2</v>
          </cell>
        </row>
        <row r="10">
          <cell r="F10">
            <v>2.0926854508460647E-2</v>
          </cell>
        </row>
        <row r="11">
          <cell r="F11">
            <v>-7.1190512010958565E-3</v>
          </cell>
        </row>
        <row r="12">
          <cell r="F12">
            <v>-2.3472632367239371E-2</v>
          </cell>
        </row>
        <row r="13">
          <cell r="F13">
            <v>6.5514749187091425E-3</v>
          </cell>
        </row>
        <row r="14">
          <cell r="F14">
            <v>2.7809743493350077E-2</v>
          </cell>
        </row>
        <row r="15">
          <cell r="F15">
            <v>4.0259210601020778E-2</v>
          </cell>
        </row>
        <row r="16">
          <cell r="F16">
            <v>6.9882169075874981E-2</v>
          </cell>
        </row>
        <row r="17">
          <cell r="F17">
            <v>4.3403662523374777E-2</v>
          </cell>
        </row>
        <row r="18">
          <cell r="F18">
            <v>-2.3597565385418224E-3</v>
          </cell>
        </row>
        <row r="19">
          <cell r="F19">
            <v>1.8696104378600444E-2</v>
          </cell>
        </row>
        <row r="20">
          <cell r="F20">
            <v>2.9486120773722954E-3</v>
          </cell>
        </row>
        <row r="21">
          <cell r="F21">
            <v>3.2038382527132321E-2</v>
          </cell>
        </row>
        <row r="22">
          <cell r="F22">
            <v>3.1084012253550519E-2</v>
          </cell>
          <cell r="G22">
            <v>0.10136637457037398</v>
          </cell>
        </row>
        <row r="23">
          <cell r="F23">
            <v>2.5559832998230243E-2</v>
          </cell>
          <cell r="G23">
            <v>0.12739514919362696</v>
          </cell>
        </row>
        <row r="24">
          <cell r="F24">
            <v>4.8639935069773002E-2</v>
          </cell>
          <cell r="G24">
            <v>0.10398148120809131</v>
          </cell>
        </row>
        <row r="25">
          <cell r="F25">
            <v>4.3915971244192317E-2</v>
          </cell>
          <cell r="G25">
            <v>9.3792547019728861E-2</v>
          </cell>
        </row>
        <row r="26">
          <cell r="F26">
            <v>4.8165359400589823E-2</v>
          </cell>
          <cell r="G26">
            <v>0.12562621311740935</v>
          </cell>
        </row>
        <row r="27">
          <cell r="F27">
            <v>5.9537835818363541E-2</v>
          </cell>
          <cell r="G27">
            <v>0.13693393259511905</v>
          </cell>
        </row>
        <row r="28">
          <cell r="F28">
            <v>6.1001624648421314E-2</v>
          </cell>
          <cell r="G28">
            <v>0.15899970850420245</v>
          </cell>
        </row>
        <row r="29">
          <cell r="F29">
            <v>6.7793111295047392E-2</v>
          </cell>
          <cell r="G29">
            <v>0.19370260250845597</v>
          </cell>
        </row>
        <row r="30">
          <cell r="F30">
            <v>8.3516520473001343E-2</v>
          </cell>
          <cell r="G30">
            <v>0.18821587908195009</v>
          </cell>
        </row>
        <row r="31">
          <cell r="F31">
            <v>8.4834255251103469E-2</v>
          </cell>
          <cell r="G31">
            <v>0.2288872390473185</v>
          </cell>
        </row>
        <row r="32">
          <cell r="F32">
            <v>7.9317576030375148E-2</v>
          </cell>
          <cell r="G32">
            <v>0.2617899169018168</v>
          </cell>
        </row>
        <row r="33">
          <cell r="F33">
            <v>8.4471584261225169E-2</v>
          </cell>
          <cell r="G33">
            <v>0.27162271185097209</v>
          </cell>
        </row>
        <row r="34">
          <cell r="F34">
            <v>8.3476512265483832E-2</v>
          </cell>
          <cell r="G34">
            <v>0.24388264785408403</v>
          </cell>
        </row>
        <row r="35">
          <cell r="F35">
            <v>0.1174870112618117</v>
          </cell>
          <cell r="G35">
            <v>0.30611503970810944</v>
          </cell>
        </row>
        <row r="36">
          <cell r="F36">
            <v>0.12901651533026218</v>
          </cell>
          <cell r="G36">
            <v>0.32092426315620404</v>
          </cell>
        </row>
        <row r="37">
          <cell r="F37">
            <v>0.15339038204822775</v>
          </cell>
          <cell r="G37">
            <v>0.38160943137582504</v>
          </cell>
        </row>
        <row r="38">
          <cell r="F38">
            <v>0.1882920569111928</v>
          </cell>
          <cell r="G38">
            <v>0.43453446130381868</v>
          </cell>
        </row>
        <row r="39">
          <cell r="F39">
            <v>0.19049898874416407</v>
          </cell>
          <cell r="G39">
            <v>0.47791792407367301</v>
          </cell>
        </row>
        <row r="40">
          <cell r="F40">
            <v>0.2068835321543962</v>
          </cell>
          <cell r="G40">
            <v>0.52485918323322778</v>
          </cell>
        </row>
        <row r="41">
          <cell r="F41">
            <v>0.1854326649706752</v>
          </cell>
          <cell r="G41">
            <v>0.53500371381936773</v>
          </cell>
        </row>
        <row r="42">
          <cell r="F42">
            <v>0.14030602847509047</v>
          </cell>
          <cell r="G42">
            <v>0.54375647752535849</v>
          </cell>
        </row>
        <row r="43">
          <cell r="F43">
            <v>9.0886656609475078E-2</v>
          </cell>
          <cell r="G43">
            <v>0.54324474768491782</v>
          </cell>
        </row>
        <row r="44">
          <cell r="F44">
            <v>4.5008812922578315E-2</v>
          </cell>
          <cell r="G44">
            <v>0.52122806108603315</v>
          </cell>
        </row>
        <row r="45">
          <cell r="F45">
            <v>6.8251331364488285E-3</v>
          </cell>
          <cell r="G45">
            <v>0.49791287571162429</v>
          </cell>
        </row>
        <row r="46">
          <cell r="F46">
            <v>-4.5628239762479109E-2</v>
          </cell>
          <cell r="G46">
            <v>0.4499628783622896</v>
          </cell>
        </row>
        <row r="47">
          <cell r="F47">
            <v>-3.6160212374367388E-2</v>
          </cell>
          <cell r="G47">
            <v>0.44754669949218689</v>
          </cell>
        </row>
        <row r="48">
          <cell r="F48">
            <v>-3.8806858039474604E-2</v>
          </cell>
          <cell r="G48">
            <v>0.42141957839813715</v>
          </cell>
        </row>
        <row r="49">
          <cell r="F49">
            <v>-3.4726998962016087E-2</v>
          </cell>
          <cell r="G49">
            <v>0.39539276545456087</v>
          </cell>
        </row>
        <row r="50">
          <cell r="F50">
            <v>-1.2652622272846709E-4</v>
          </cell>
          <cell r="G50">
            <v>0.36631983166655968</v>
          </cell>
        </row>
        <row r="51">
          <cell r="F51">
            <v>-1.381048388702282E-2</v>
          </cell>
          <cell r="G51">
            <v>0.34890196035406057</v>
          </cell>
        </row>
        <row r="52">
          <cell r="F52">
            <v>-2.8980263061520298E-2</v>
          </cell>
          <cell r="G52">
            <v>0.31312173930624171</v>
          </cell>
        </row>
        <row r="53">
          <cell r="F53">
            <v>-4.3566157030197422E-2</v>
          </cell>
          <cell r="G53">
            <v>0.26735502416313839</v>
          </cell>
        </row>
        <row r="54">
          <cell r="F54">
            <v>-5.5945909274685207E-2</v>
          </cell>
          <cell r="G54">
            <v>0.22689741012639056</v>
          </cell>
        </row>
        <row r="55">
          <cell r="F55">
            <v>-7.0049376702111255E-2</v>
          </cell>
          <cell r="G55">
            <v>0.16136557239013749</v>
          </cell>
        </row>
        <row r="56">
          <cell r="F56">
            <v>-6.834753132030752E-2</v>
          </cell>
          <cell r="G56">
            <v>0.11575769265567211</v>
          </cell>
        </row>
        <row r="57">
          <cell r="F57">
            <v>-4.4451762570833921E-2</v>
          </cell>
          <cell r="G57">
            <v>6.9512879544076658E-2</v>
          </cell>
        </row>
        <row r="58">
          <cell r="F58">
            <v>-2.1642938659339049E-2</v>
          </cell>
          <cell r="G58">
            <v>1.6962414555858733E-2</v>
          </cell>
        </row>
        <row r="59">
          <cell r="F59">
            <v>-1.7483697547615487E-3</v>
          </cell>
          <cell r="G59">
            <v>-3.0881786108788025E-2</v>
          </cell>
        </row>
        <row r="60">
          <cell r="F60">
            <v>4.0805279688192449E-3</v>
          </cell>
          <cell r="G60">
            <v>-8.7045311529904829E-2</v>
          </cell>
        </row>
        <row r="61">
          <cell r="F61">
            <v>-1.9272693580406043E-2</v>
          </cell>
          <cell r="G61">
            <v>-0.13519247900700462</v>
          </cell>
        </row>
        <row r="62">
          <cell r="F62">
            <v>-3.7477395654854397E-2</v>
          </cell>
          <cell r="G62">
            <v>-0.16082100957408627</v>
          </cell>
        </row>
        <row r="63">
          <cell r="F63">
            <v>-3.5206704426782788E-2</v>
          </cell>
          <cell r="G63">
            <v>-0.15697514714504593</v>
          </cell>
        </row>
        <row r="64">
          <cell r="F64">
            <v>-2.1819047394639839E-2</v>
          </cell>
          <cell r="G64">
            <v>-0.15387317184712293</v>
          </cell>
        </row>
        <row r="65">
          <cell r="F65">
            <v>-2.3800528465406239E-2</v>
          </cell>
          <cell r="G65">
            <v>-0.16581814060885966</v>
          </cell>
        </row>
        <row r="66">
          <cell r="F66">
            <v>-5.8375619605789512E-3</v>
          </cell>
          <cell r="G66">
            <v>-0.12103033177218611</v>
          </cell>
        </row>
        <row r="67">
          <cell r="F67">
            <v>-8.541674841505505E-3</v>
          </cell>
          <cell r="G67">
            <v>-0.12935660961218404</v>
          </cell>
        </row>
        <row r="68">
          <cell r="F68">
            <v>-1.820013838276514E-2</v>
          </cell>
          <cell r="G68">
            <v>-0.13326645219041353</v>
          </cell>
        </row>
        <row r="69">
          <cell r="F69">
            <v>1.649404661443021E-2</v>
          </cell>
          <cell r="G69">
            <v>-0.11459709503241333</v>
          </cell>
        </row>
        <row r="70">
          <cell r="F70">
            <v>2.4124750436709967E-2</v>
          </cell>
          <cell r="G70">
            <v>-9.6779055112747522E-2</v>
          </cell>
        </row>
        <row r="71">
          <cell r="F71">
            <v>2.8147438825808543E-2</v>
          </cell>
          <cell r="G71">
            <v>-8.7398686899352637E-2</v>
          </cell>
        </row>
        <row r="72">
          <cell r="F72">
            <v>5.0416956856732573E-2</v>
          </cell>
          <cell r="G72">
            <v>-5.3869232272160526E-2</v>
          </cell>
        </row>
        <row r="73">
          <cell r="F73">
            <v>6.8927058199224914E-2</v>
          </cell>
          <cell r="G73">
            <v>-2.1038798029909796E-3</v>
          </cell>
        </row>
        <row r="74">
          <cell r="F74">
            <v>9.0559577045727133E-2</v>
          </cell>
          <cell r="G74">
            <v>4.9726431207664831E-2</v>
          </cell>
        </row>
        <row r="75">
          <cell r="F75">
            <v>0.11617143176204202</v>
          </cell>
          <cell r="G75">
            <v>9.8822121564800705E-2</v>
          </cell>
        </row>
        <row r="76">
          <cell r="F76">
            <v>0.13711844955576594</v>
          </cell>
          <cell r="G76">
            <v>0.15159674860391301</v>
          </cell>
        </row>
        <row r="77">
          <cell r="F77">
            <v>0.12307810524542441</v>
          </cell>
          <cell r="G77">
            <v>0.16542598801326736</v>
          </cell>
        </row>
        <row r="78">
          <cell r="F78">
            <v>0.1081450233978761</v>
          </cell>
          <cell r="G78">
            <v>0.17951439326487997</v>
          </cell>
        </row>
        <row r="79">
          <cell r="F79">
            <v>9.9230995496164778E-2</v>
          </cell>
          <cell r="G79">
            <v>0.19980148681572701</v>
          </cell>
        </row>
        <row r="80">
          <cell r="F80">
            <v>9.0849554964825344E-2</v>
          </cell>
          <cell r="G80">
            <v>0.23836577559991906</v>
          </cell>
        </row>
        <row r="81">
          <cell r="F81">
            <v>0.10392792574493226</v>
          </cell>
          <cell r="G81">
            <v>0.28862660733860562</v>
          </cell>
        </row>
        <row r="82">
          <cell r="F82">
            <v>0.13341711344035154</v>
          </cell>
          <cell r="G82">
            <v>0.35040890236008598</v>
          </cell>
        </row>
        <row r="83">
          <cell r="F83">
            <v>0.15632141353793688</v>
          </cell>
          <cell r="G83">
            <v>0.39132960478044676</v>
          </cell>
        </row>
        <row r="84">
          <cell r="F84">
            <v>0.16088122555608525</v>
          </cell>
          <cell r="G84">
            <v>0.42106604855064411</v>
          </cell>
        </row>
        <row r="85">
          <cell r="F85">
            <v>0.16977774023335063</v>
          </cell>
          <cell r="G85">
            <v>0.48220487603736234</v>
          </cell>
        </row>
        <row r="86">
          <cell r="F86">
            <v>0.15657630704209666</v>
          </cell>
          <cell r="G86">
            <v>0.51282277136276178</v>
          </cell>
        </row>
        <row r="87">
          <cell r="F87">
            <v>0.13466208152289807</v>
          </cell>
          <cell r="G87">
            <v>0.53453336114485017</v>
          </cell>
        </row>
        <row r="88">
          <cell r="F88">
            <v>0.11901661754771566</v>
          </cell>
          <cell r="G88">
            <v>0.55828280448112488</v>
          </cell>
        </row>
        <row r="89">
          <cell r="F89">
            <v>9.8628158160298893E-2</v>
          </cell>
          <cell r="G89">
            <v>0.5643389875832312</v>
          </cell>
        </row>
        <row r="90">
          <cell r="F90">
            <v>9.1064715872500548E-2</v>
          </cell>
          <cell r="G90">
            <v>0.57976273679855206</v>
          </cell>
        </row>
        <row r="91">
          <cell r="F91">
            <v>0.12420782230340616</v>
          </cell>
          <cell r="G91">
            <v>0.63059374462244777</v>
          </cell>
        </row>
        <row r="92">
          <cell r="F92">
            <v>0.16211060038692837</v>
          </cell>
          <cell r="G92">
            <v>0.66997644801132061</v>
          </cell>
        </row>
        <row r="93">
          <cell r="F93">
            <v>0.18641699817519594</v>
          </cell>
          <cell r="G93">
            <v>0.6818289275592021</v>
          </cell>
        </row>
        <row r="94">
          <cell r="F94">
            <v>0.18297187872621914</v>
          </cell>
          <cell r="G94">
            <v>0.67217503847904414</v>
          </cell>
        </row>
        <row r="95">
          <cell r="F95">
            <v>0.15843520764077998</v>
          </cell>
          <cell r="G95">
            <v>0.67285752050118586</v>
          </cell>
        </row>
        <row r="96">
          <cell r="F96">
            <v>0.15712183826344442</v>
          </cell>
          <cell r="G96">
            <v>0.68997983671899898</v>
          </cell>
        </row>
        <row r="97">
          <cell r="F97">
            <v>0.17549764337010959</v>
          </cell>
          <cell r="G97">
            <v>0.73424846568388713</v>
          </cell>
        </row>
        <row r="98">
          <cell r="F98">
            <v>0.21832112424280359</v>
          </cell>
          <cell r="G98">
            <v>0.78235113932397138</v>
          </cell>
        </row>
        <row r="99">
          <cell r="F99">
            <v>0.27890139889764198</v>
          </cell>
          <cell r="G99">
            <v>0.85252792390266297</v>
          </cell>
        </row>
        <row r="100">
          <cell r="F100">
            <v>0.2782528430240962</v>
          </cell>
          <cell r="G100">
            <v>0.87738312477826985</v>
          </cell>
        </row>
        <row r="101">
          <cell r="F101">
            <v>0.23781341572027398</v>
          </cell>
          <cell r="G101">
            <v>0.86813395565922913</v>
          </cell>
        </row>
        <row r="102">
          <cell r="F102">
            <v>0.18891937567558392</v>
          </cell>
          <cell r="G102">
            <v>0.83785340155920385</v>
          </cell>
        </row>
      </sheetData>
      <sheetData sheetId="19">
        <row r="6">
          <cell r="F6">
            <v>8.0732362873284919E-2</v>
          </cell>
        </row>
        <row r="7">
          <cell r="F7">
            <v>6.8402726884400411E-2</v>
          </cell>
        </row>
        <row r="8">
          <cell r="F8">
            <v>1.6067408178564543E-2</v>
          </cell>
        </row>
        <row r="9">
          <cell r="F9">
            <v>1.7005441899455149E-2</v>
          </cell>
        </row>
        <row r="10">
          <cell r="F10">
            <v>-2.6193220876931302E-2</v>
          </cell>
        </row>
        <row r="11">
          <cell r="F11">
            <v>-3.4494687532574328E-3</v>
          </cell>
        </row>
        <row r="12">
          <cell r="F12">
            <v>-4.4278527403661741E-2</v>
          </cell>
        </row>
        <row r="13">
          <cell r="F13">
            <v>-4.3966989896263381E-2</v>
          </cell>
        </row>
        <row r="14">
          <cell r="F14">
            <v>-7.4587452876760576E-3</v>
          </cell>
        </row>
        <row r="15">
          <cell r="F15">
            <v>-6.9348405524590692E-3</v>
          </cell>
        </row>
        <row r="16">
          <cell r="F16">
            <v>6.5873196885121763E-2</v>
          </cell>
        </row>
        <row r="17">
          <cell r="F17">
            <v>4.1210268646662898E-2</v>
          </cell>
        </row>
        <row r="18">
          <cell r="F18">
            <v>5.2095111883401872E-2</v>
          </cell>
        </row>
        <row r="19">
          <cell r="F19">
            <v>5.4506636854628469E-2</v>
          </cell>
        </row>
        <row r="20">
          <cell r="F20">
            <v>5.4120761626331886E-2</v>
          </cell>
        </row>
        <row r="21">
          <cell r="F21">
            <v>6.0584025043872558E-2</v>
          </cell>
        </row>
        <row r="22">
          <cell r="F22">
            <v>4.6935250133004119E-2</v>
          </cell>
          <cell r="G22">
            <v>0.14611075872508356</v>
          </cell>
        </row>
        <row r="23">
          <cell r="F23">
            <v>5.4500665861171714E-2</v>
          </cell>
          <cell r="G23">
            <v>0.16702572029448412</v>
          </cell>
        </row>
        <row r="24">
          <cell r="F24">
            <v>4.9814527281029523E-2</v>
          </cell>
          <cell r="G24">
            <v>0.14159736656738597</v>
          </cell>
        </row>
        <row r="25">
          <cell r="F25">
            <v>7.9267930383239302E-2</v>
          </cell>
          <cell r="G25">
            <v>0.15410067607696648</v>
          </cell>
        </row>
        <row r="26">
          <cell r="F26">
            <v>8.4478843373204784E-2</v>
          </cell>
          <cell r="G26">
            <v>0.14985723922500352</v>
          </cell>
        </row>
        <row r="27">
          <cell r="F27">
            <v>0.10251716358831749</v>
          </cell>
          <cell r="G27">
            <v>0.20114015699840113</v>
          </cell>
        </row>
        <row r="28">
          <cell r="F28">
            <v>0.12589996333795989</v>
          </cell>
          <cell r="G28">
            <v>0.25142992172678136</v>
          </cell>
        </row>
        <row r="29">
          <cell r="F29">
            <v>0.11601462959668923</v>
          </cell>
          <cell r="G29">
            <v>0.25310986377420075</v>
          </cell>
        </row>
        <row r="30">
          <cell r="F30">
            <v>0.12324124142768522</v>
          </cell>
          <cell r="G30">
            <v>0.29929170152961981</v>
          </cell>
        </row>
        <row r="31">
          <cell r="F31">
            <v>0.11254389016867437</v>
          </cell>
          <cell r="G31">
            <v>0.31713351592033306</v>
          </cell>
        </row>
        <row r="32">
          <cell r="F32">
            <v>0.12497291134645086</v>
          </cell>
          <cell r="G32">
            <v>0.42068136047689397</v>
          </cell>
        </row>
        <row r="33">
          <cell r="F33">
            <v>0.13919260192324656</v>
          </cell>
          <cell r="G33">
            <v>0.43626945559371066</v>
          </cell>
        </row>
        <row r="34">
          <cell r="F34">
            <v>0.14572070366679901</v>
          </cell>
          <cell r="G34">
            <v>0.45247115048409503</v>
          </cell>
        </row>
        <row r="35">
          <cell r="F35">
            <v>0.20987014097629578</v>
          </cell>
          <cell r="G35">
            <v>0.53393849744908772</v>
          </cell>
        </row>
        <row r="36">
          <cell r="F36">
            <v>0.18350991106333348</v>
          </cell>
          <cell r="G36">
            <v>0.53831807465510562</v>
          </cell>
        </row>
        <row r="37">
          <cell r="F37">
            <v>0.193417371049009</v>
          </cell>
          <cell r="G37">
            <v>0.5884765579960568</v>
          </cell>
        </row>
        <row r="38">
          <cell r="F38">
            <v>0.21777770696315665</v>
          </cell>
          <cell r="G38">
            <v>0.61815374556384983</v>
          </cell>
        </row>
        <row r="39">
          <cell r="F39">
            <v>0.18072229143446142</v>
          </cell>
          <cell r="G39">
            <v>0.66015415202892069</v>
          </cell>
        </row>
        <row r="40">
          <cell r="F40">
            <v>0.21167663159136235</v>
          </cell>
          <cell r="G40">
            <v>0.69587394462013608</v>
          </cell>
        </row>
        <row r="41">
          <cell r="F41">
            <v>0.17253564409643313</v>
          </cell>
          <cell r="G41">
            <v>0.70042817704861715</v>
          </cell>
        </row>
        <row r="42">
          <cell r="F42">
            <v>0.10499568529989431</v>
          </cell>
          <cell r="G42">
            <v>0.67621418073073991</v>
          </cell>
        </row>
        <row r="43">
          <cell r="F43">
            <v>6.1575682320504373E-2</v>
          </cell>
          <cell r="G43">
            <v>0.66722916848825353</v>
          </cell>
        </row>
        <row r="44">
          <cell r="F44">
            <v>-1.5984840234236096E-2</v>
          </cell>
          <cell r="G44">
            <v>0.63007457710487047</v>
          </cell>
        </row>
        <row r="45">
          <cell r="F45">
            <v>-5.5860075435721239E-2</v>
          </cell>
          <cell r="G45">
            <v>0.5653001712296567</v>
          </cell>
        </row>
        <row r="46">
          <cell r="F46">
            <v>-9.212969283719781E-2</v>
          </cell>
          <cell r="G46">
            <v>0.49960564452033729</v>
          </cell>
        </row>
        <row r="47">
          <cell r="F47">
            <v>-6.5157775703008861E-2</v>
          </cell>
          <cell r="G47">
            <v>0.49955422919692716</v>
          </cell>
        </row>
        <row r="48">
          <cell r="F48">
            <v>-4.4429568214857537E-2</v>
          </cell>
          <cell r="G48">
            <v>0.45974504555205292</v>
          </cell>
        </row>
        <row r="49">
          <cell r="F49">
            <v>-1.0108884165346454E-2</v>
          </cell>
          <cell r="G49">
            <v>0.43917665746762091</v>
          </cell>
        </row>
        <row r="50">
          <cell r="F50">
            <v>-1.621768082277434E-3</v>
          </cell>
          <cell r="G50">
            <v>0.37474263501037486</v>
          </cell>
        </row>
        <row r="51">
          <cell r="F51">
            <v>-2.2814677766171399E-2</v>
          </cell>
          <cell r="G51">
            <v>0.36419566126208142</v>
          </cell>
        </row>
        <row r="52">
          <cell r="F52">
            <v>-3.9921996939813777E-2</v>
          </cell>
          <cell r="G52">
            <v>0.29485013726578824</v>
          </cell>
        </row>
        <row r="53">
          <cell r="F53">
            <v>-5.1048610594818453E-2</v>
          </cell>
          <cell r="G53">
            <v>0.24893544494955602</v>
          </cell>
        </row>
        <row r="54">
          <cell r="F54">
            <v>-3.6735076325321851E-2</v>
          </cell>
          <cell r="G54">
            <v>0.1922868550182539</v>
          </cell>
        </row>
        <row r="55">
          <cell r="F55">
            <v>-5.1661415135311625E-2</v>
          </cell>
          <cell r="G55">
            <v>0.10266410515047406</v>
          </cell>
        </row>
        <row r="56">
          <cell r="F56">
            <v>-4.750712008234767E-2</v>
          </cell>
          <cell r="G56">
            <v>6.3833106120107161E-2</v>
          </cell>
        </row>
        <row r="57">
          <cell r="F57">
            <v>-1.2216397712950588E-2</v>
          </cell>
          <cell r="G57">
            <v>4.330167618759647E-2</v>
          </cell>
        </row>
        <row r="58">
          <cell r="F58">
            <v>1.3749752106968558E-2</v>
          </cell>
          <cell r="G58">
            <v>-1.1741099837934249E-2</v>
          </cell>
        </row>
        <row r="59">
          <cell r="F59">
            <v>4.5347819978459256E-2</v>
          </cell>
          <cell r="G59">
            <v>-3.2710366305528087E-2</v>
          </cell>
        </row>
        <row r="60">
          <cell r="F60">
            <v>5.0336476523316007E-2</v>
          </cell>
          <cell r="G60">
            <v>-9.7507048947939101E-2</v>
          </cell>
        </row>
        <row r="61">
          <cell r="F61">
            <v>7.5077180229487131E-2</v>
          </cell>
          <cell r="G61">
            <v>-5.4156787679349713E-2</v>
          </cell>
        </row>
        <row r="62">
          <cell r="F62">
            <v>9.800747325814009E-2</v>
          </cell>
          <cell r="G62">
            <v>-1.8729311879688425E-2</v>
          </cell>
        </row>
        <row r="63">
          <cell r="F63">
            <v>2.9811566424156243E-2</v>
          </cell>
          <cell r="G63">
            <v>-6.4474482201876349E-2</v>
          </cell>
        </row>
        <row r="64">
          <cell r="F64">
            <v>2.8891671931744627E-2</v>
          </cell>
          <cell r="G64">
            <v>-5.2630536781958316E-2</v>
          </cell>
        </row>
        <row r="65">
          <cell r="F65">
            <v>-4.6682108579341949E-2</v>
          </cell>
          <cell r="G65">
            <v>-4.4978820822970333E-2</v>
          </cell>
        </row>
        <row r="66">
          <cell r="F66">
            <v>-3.5073394113287776E-2</v>
          </cell>
          <cell r="G66">
            <v>3.8326986844221561E-2</v>
          </cell>
        </row>
        <row r="67">
          <cell r="F67">
            <v>1.3651879253399903E-3</v>
          </cell>
          <cell r="G67">
            <v>2.0484814264724875E-3</v>
          </cell>
        </row>
        <row r="68">
          <cell r="F68">
            <v>2.0545760494125726E-2</v>
          </cell>
          <cell r="G68">
            <v>1.234479192702505E-2</v>
          </cell>
        </row>
        <row r="69">
          <cell r="F69">
            <v>5.2113214936844419E-2</v>
          </cell>
          <cell r="G69">
            <v>1.7243278279220519E-2</v>
          </cell>
        </row>
        <row r="70">
          <cell r="F70">
            <v>5.7735847739813356E-2</v>
          </cell>
          <cell r="G70">
            <v>9.7684602666312279E-2</v>
          </cell>
        </row>
        <row r="71">
          <cell r="F71">
            <v>9.86532151718401E-2</v>
          </cell>
          <cell r="G71">
            <v>0.12351637436448391</v>
          </cell>
        </row>
        <row r="72">
          <cell r="F72">
            <v>0.10579739500206257</v>
          </cell>
          <cell r="G72">
            <v>0.15806418386890134</v>
          </cell>
        </row>
        <row r="73">
          <cell r="F73">
            <v>0.13840692861769902</v>
          </cell>
          <cell r="G73">
            <v>0.20669881749173799</v>
          </cell>
        </row>
        <row r="74">
          <cell r="F74">
            <v>0.14074281543075062</v>
          </cell>
          <cell r="G74">
            <v>0.27516249442238483</v>
          </cell>
        </row>
        <row r="75">
          <cell r="F75">
            <v>0.14888343294768416</v>
          </cell>
          <cell r="G75">
            <v>0.3240612224474797</v>
          </cell>
        </row>
        <row r="76">
          <cell r="F76">
            <v>0.1469539089750829</v>
          </cell>
          <cell r="G76">
            <v>0.35252521292633199</v>
          </cell>
        </row>
        <row r="77">
          <cell r="F77">
            <v>0.120252758291174</v>
          </cell>
          <cell r="G77">
            <v>0.33916797349586253</v>
          </cell>
        </row>
        <row r="78">
          <cell r="F78">
            <v>0.10816986497074658</v>
          </cell>
          <cell r="G78">
            <v>0.36958260728616277</v>
          </cell>
        </row>
        <row r="79">
          <cell r="F79">
            <v>0.11483486353455075</v>
          </cell>
          <cell r="G79">
            <v>0.39354826600357112</v>
          </cell>
        </row>
        <row r="80">
          <cell r="F80">
            <v>0.14348366205891422</v>
          </cell>
          <cell r="G80">
            <v>0.44567239846193013</v>
          </cell>
        </row>
        <row r="81">
          <cell r="F81">
            <v>0.17308755756980604</v>
          </cell>
          <cell r="G81">
            <v>0.43717835083618156</v>
          </cell>
        </row>
        <row r="82">
          <cell r="F82">
            <v>0.24309118912390582</v>
          </cell>
          <cell r="G82">
            <v>0.51466632315192851</v>
          </cell>
        </row>
        <row r="83">
          <cell r="F83">
            <v>0.27754181258401101</v>
          </cell>
          <cell r="G83">
            <v>0.64127851216342591</v>
          </cell>
        </row>
        <row r="84">
          <cell r="F84">
            <v>0.23476858245245305</v>
          </cell>
          <cell r="G84">
            <v>0.65154930898263852</v>
          </cell>
        </row>
        <row r="85">
          <cell r="F85">
            <v>0.25409505351757172</v>
          </cell>
          <cell r="G85">
            <v>0.73795551293309503</v>
          </cell>
        </row>
        <row r="86">
          <cell r="F86">
            <v>0.17873178794339725</v>
          </cell>
          <cell r="G86">
            <v>0.72847150520861337</v>
          </cell>
        </row>
        <row r="87">
          <cell r="F87">
            <v>4.4412662650983689E-2</v>
          </cell>
          <cell r="G87">
            <v>0.68432598688906965</v>
          </cell>
        </row>
        <row r="88">
          <cell r="F88">
            <v>6.1511225815591665E-3</v>
          </cell>
          <cell r="G88">
            <v>0.63715467107007207</v>
          </cell>
        </row>
        <row r="89">
          <cell r="F89">
            <v>-7.1553692348625075E-2</v>
          </cell>
          <cell r="G89">
            <v>0.61428860564762577</v>
          </cell>
        </row>
        <row r="90">
          <cell r="F90">
            <v>-6.4778297867552057E-2</v>
          </cell>
          <cell r="G90">
            <v>0.60595735960124808</v>
          </cell>
        </row>
        <row r="91">
          <cell r="F91">
            <v>5.163302161995531E-2</v>
          </cell>
          <cell r="G91">
            <v>0.63730579333718484</v>
          </cell>
        </row>
        <row r="92">
          <cell r="F92">
            <v>9.2948216012302465E-2</v>
          </cell>
          <cell r="G92">
            <v>0.62430549208031183</v>
          </cell>
        </row>
        <row r="93">
          <cell r="F93">
            <v>0.10012706479268121</v>
          </cell>
          <cell r="G93">
            <v>0.57600874182260775</v>
          </cell>
        </row>
        <row r="94">
          <cell r="F94">
            <v>8.6535370673558348E-2</v>
          </cell>
          <cell r="G94">
            <v>0.551749914844056</v>
          </cell>
        </row>
        <row r="95">
          <cell r="F95">
            <v>1.5321932429244327E-2</v>
          </cell>
          <cell r="G95">
            <v>0.503744292818745</v>
          </cell>
        </row>
        <row r="96">
          <cell r="F96">
            <v>2.818662388226956E-2</v>
          </cell>
          <cell r="G96">
            <v>0.50553820698749863</v>
          </cell>
        </row>
        <row r="97">
          <cell r="F97">
            <v>6.929108716536557E-2</v>
          </cell>
          <cell r="G97">
            <v>0.52504707069679946</v>
          </cell>
        </row>
        <row r="98">
          <cell r="F98">
            <v>0.11643643017201852</v>
          </cell>
          <cell r="G98">
            <v>0.56001648004532789</v>
          </cell>
        </row>
        <row r="99">
          <cell r="F99">
            <v>0.15740935721063196</v>
          </cell>
          <cell r="G99">
            <v>0.54631878649482635</v>
          </cell>
        </row>
        <row r="100">
          <cell r="F100">
            <v>0.14562239743523842</v>
          </cell>
          <cell r="G100">
            <v>0.50767694236382266</v>
          </cell>
        </row>
        <row r="101">
          <cell r="F101">
            <v>0.16522090358150501</v>
          </cell>
          <cell r="G101">
            <v>0.51718041670849846</v>
          </cell>
        </row>
        <row r="102">
          <cell r="F102">
            <v>0.15632306848920255</v>
          </cell>
          <cell r="G102">
            <v>0.47324835941062471</v>
          </cell>
        </row>
      </sheetData>
      <sheetData sheetId="20">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t="str">
            <v/>
          </cell>
          <cell r="G26" t="str">
            <v/>
          </cell>
        </row>
        <row r="27">
          <cell r="F27" t="str">
            <v/>
          </cell>
          <cell r="G27" t="str">
            <v/>
          </cell>
        </row>
        <row r="28">
          <cell r="F28" t="str">
            <v/>
          </cell>
          <cell r="G28" t="str">
            <v/>
          </cell>
        </row>
        <row r="29">
          <cell r="F29" t="str">
            <v/>
          </cell>
          <cell r="G29" t="str">
            <v/>
          </cell>
        </row>
        <row r="30">
          <cell r="F30" t="str">
            <v/>
          </cell>
          <cell r="G30" t="str">
            <v/>
          </cell>
        </row>
        <row r="31">
          <cell r="F31" t="str">
            <v/>
          </cell>
          <cell r="G31" t="str">
            <v/>
          </cell>
        </row>
        <row r="32">
          <cell r="F32" t="str">
            <v/>
          </cell>
          <cell r="G32" t="str">
            <v/>
          </cell>
        </row>
        <row r="33">
          <cell r="F33" t="str">
            <v/>
          </cell>
          <cell r="G33" t="str">
            <v/>
          </cell>
        </row>
        <row r="34">
          <cell r="F34">
            <v>0.17275133617733052</v>
          </cell>
          <cell r="G34" t="str">
            <v/>
          </cell>
        </row>
        <row r="35">
          <cell r="F35">
            <v>0.16359206654749744</v>
          </cell>
          <cell r="G35" t="str">
            <v/>
          </cell>
        </row>
        <row r="36">
          <cell r="F36">
            <v>0.15881646327679302</v>
          </cell>
          <cell r="G36" t="str">
            <v/>
          </cell>
        </row>
        <row r="37">
          <cell r="F37">
            <v>0.15696612815810695</v>
          </cell>
          <cell r="G37" t="str">
            <v/>
          </cell>
        </row>
        <row r="38">
          <cell r="F38">
            <v>0.14341504792092513</v>
          </cell>
          <cell r="G38" t="str">
            <v/>
          </cell>
        </row>
        <row r="39">
          <cell r="F39">
            <v>0.13638842212936247</v>
          </cell>
          <cell r="G39" t="str">
            <v/>
          </cell>
        </row>
        <row r="40">
          <cell r="F40">
            <v>0.10075708606645667</v>
          </cell>
          <cell r="G40" t="str">
            <v/>
          </cell>
        </row>
        <row r="41">
          <cell r="F41">
            <v>7.9071362283904642E-2</v>
          </cell>
          <cell r="G41" t="str">
            <v/>
          </cell>
        </row>
        <row r="42">
          <cell r="F42">
            <v>3.9130950575239902E-2</v>
          </cell>
          <cell r="G42" t="str">
            <v/>
          </cell>
        </row>
        <row r="43">
          <cell r="F43">
            <v>1.2111844820885525E-2</v>
          </cell>
          <cell r="G43" t="str">
            <v/>
          </cell>
        </row>
        <row r="44">
          <cell r="F44">
            <v>-9.132483563272363E-3</v>
          </cell>
          <cell r="G44" t="str">
            <v/>
          </cell>
        </row>
        <row r="45">
          <cell r="F45">
            <v>-3.4218667011638629E-2</v>
          </cell>
          <cell r="G45" t="str">
            <v/>
          </cell>
        </row>
        <row r="46">
          <cell r="F46">
            <v>-5.4179435824621217E-2</v>
          </cell>
          <cell r="G46" t="str">
            <v/>
          </cell>
        </row>
        <row r="47">
          <cell r="F47">
            <v>-3.1594090182963191E-2</v>
          </cell>
          <cell r="G47" t="str">
            <v/>
          </cell>
        </row>
        <row r="48">
          <cell r="F48">
            <v>-2.3608705949258034E-2</v>
          </cell>
          <cell r="G48" t="str">
            <v/>
          </cell>
        </row>
        <row r="49">
          <cell r="F49">
            <v>-1.8858538393561261E-2</v>
          </cell>
          <cell r="G49" t="str">
            <v/>
          </cell>
        </row>
        <row r="50">
          <cell r="F50">
            <v>1.165884960370321E-2</v>
          </cell>
          <cell r="G50">
            <v>0.31277674845257736</v>
          </cell>
        </row>
        <row r="51">
          <cell r="F51">
            <v>-4.6029920260367565E-4</v>
          </cell>
          <cell r="G51">
            <v>0.28003794411217875</v>
          </cell>
        </row>
        <row r="52">
          <cell r="F52">
            <v>-3.0197467778804777E-3</v>
          </cell>
          <cell r="G52">
            <v>0.22381261305283875</v>
          </cell>
        </row>
        <row r="53">
          <cell r="F53">
            <v>1.0468836421748076E-2</v>
          </cell>
          <cell r="G53">
            <v>0.19342912145855976</v>
          </cell>
        </row>
        <row r="54">
          <cell r="F54">
            <v>2.6892737634262821E-3</v>
          </cell>
          <cell r="G54">
            <v>0.14271468603867307</v>
          </cell>
        </row>
        <row r="55">
          <cell r="F55">
            <v>-6.9300346646696317E-3</v>
          </cell>
          <cell r="G55">
            <v>0.1095158429000116</v>
          </cell>
        </row>
        <row r="56">
          <cell r="F56">
            <v>1.9754814396118663E-3</v>
          </cell>
          <cell r="G56">
            <v>6.6971631215657579E-2</v>
          </cell>
        </row>
        <row r="57">
          <cell r="F57">
            <v>6.2988660376288291E-3</v>
          </cell>
          <cell r="G57">
            <v>4.2761859338081701E-2</v>
          </cell>
        </row>
        <row r="58">
          <cell r="F58">
            <v>9.4137484078174859E-3</v>
          </cell>
          <cell r="G58">
            <v>8.7133865255654471E-3</v>
          </cell>
        </row>
        <row r="59">
          <cell r="F59">
            <v>1.8829488574410243E-2</v>
          </cell>
          <cell r="G59">
            <v>-8.0430906549405819E-3</v>
          </cell>
        </row>
        <row r="60">
          <cell r="F60">
            <v>2.7819320195527082E-2</v>
          </cell>
          <cell r="G60">
            <v>-5.9661346552720464E-3</v>
          </cell>
        </row>
        <row r="61">
          <cell r="F61">
            <v>2.4579163160333255E-2</v>
          </cell>
          <cell r="G61">
            <v>-1.1730339785489716E-2</v>
          </cell>
        </row>
        <row r="62">
          <cell r="F62">
            <v>6.9164540848985741E-3</v>
          </cell>
          <cell r="G62">
            <v>-2.3501109964775935E-2</v>
          </cell>
        </row>
        <row r="63">
          <cell r="F63">
            <v>-4.3314783326165555E-3</v>
          </cell>
          <cell r="G63">
            <v>-2.4486413808442783E-2</v>
          </cell>
        </row>
        <row r="64">
          <cell r="F64">
            <v>-1.7310533607293527E-2</v>
          </cell>
          <cell r="G64">
            <v>-1.414418469929314E-2</v>
          </cell>
        </row>
        <row r="65">
          <cell r="F65">
            <v>-2.3417047980155866E-2</v>
          </cell>
          <cell r="G65">
            <v>-9.2872075400700165E-4</v>
          </cell>
        </row>
        <row r="66">
          <cell r="F66">
            <v>-1.6446977176097374E-2</v>
          </cell>
          <cell r="G66">
            <v>1.4231348683748011E-2</v>
          </cell>
        </row>
        <row r="67">
          <cell r="F67">
            <v>-2.0583197661544696E-3</v>
          </cell>
          <cell r="G67">
            <v>5.0493566083660646E-3</v>
          </cell>
        </row>
        <row r="68">
          <cell r="F68">
            <v>6.8902161660266796E-4</v>
          </cell>
          <cell r="G68">
            <v>1.0153542866567611E-2</v>
          </cell>
        </row>
        <row r="69">
          <cell r="F69">
            <v>-3.0243131112419708E-3</v>
          </cell>
          <cell r="G69">
            <v>1.4905504528312253E-2</v>
          </cell>
        </row>
        <row r="70">
          <cell r="F70">
            <v>1.965835738754091E-2</v>
          </cell>
          <cell r="G70">
            <v>2.2230856467585616E-2</v>
          </cell>
        </row>
        <row r="71">
          <cell r="F71">
            <v>4.2264041436976861E-3</v>
          </cell>
          <cell r="G71">
            <v>9.7360599546673695E-3</v>
          </cell>
        </row>
        <row r="72">
          <cell r="F72">
            <v>3.7811560374825409E-3</v>
          </cell>
          <cell r="G72">
            <v>1.6954445681930379E-2</v>
          </cell>
        </row>
        <row r="73">
          <cell r="F73">
            <v>1.1582246687648005E-2</v>
          </cell>
          <cell r="G73">
            <v>1.6018914794212268E-2</v>
          </cell>
        </row>
        <row r="74">
          <cell r="F74">
            <v>-6.4331066202432093E-3</v>
          </cell>
          <cell r="G74">
            <v>1.3108476083916283E-2</v>
          </cell>
        </row>
        <row r="75">
          <cell r="F75">
            <v>2.3543751519299289E-2</v>
          </cell>
          <cell r="G75">
            <v>4.0209846138636214E-2</v>
          </cell>
        </row>
        <row r="76">
          <cell r="F76">
            <v>3.4286503494758737E-2</v>
          </cell>
          <cell r="G76">
            <v>4.9265467737077219E-2</v>
          </cell>
        </row>
        <row r="77">
          <cell r="F77">
            <v>4.3820718171446491E-2</v>
          </cell>
          <cell r="G77">
            <v>5.3540766928029761E-2</v>
          </cell>
        </row>
        <row r="78">
          <cell r="F78">
            <v>6.102451744222926E-2</v>
          </cell>
          <cell r="G78">
            <v>6.4719245118328064E-2</v>
          </cell>
        </row>
        <row r="79">
          <cell r="F79">
            <v>6.1527981984699991E-2</v>
          </cell>
          <cell r="G79">
            <v>8.2908339548926041E-2</v>
          </cell>
        </row>
        <row r="80">
          <cell r="F80">
            <v>8.2275903386328855E-2</v>
          </cell>
          <cell r="G80">
            <v>0.10372205092787914</v>
          </cell>
        </row>
        <row r="81">
          <cell r="F81">
            <v>7.6058486354927207E-2</v>
          </cell>
          <cell r="G81">
            <v>0.10502009012262391</v>
          </cell>
        </row>
        <row r="82">
          <cell r="F82">
            <v>8.0884728740463874E-2</v>
          </cell>
          <cell r="G82">
            <v>0.13868751977389329</v>
          </cell>
        </row>
        <row r="83">
          <cell r="F83">
            <v>9.7667684983816588E-2</v>
          </cell>
          <cell r="G83">
            <v>0.18490750286535929</v>
          </cell>
        </row>
        <row r="84">
          <cell r="F84">
            <v>9.8497323082821539E-2</v>
          </cell>
          <cell r="G84">
            <v>0.21952990761799421</v>
          </cell>
        </row>
        <row r="85">
          <cell r="F85">
            <v>0.11279957993883606</v>
          </cell>
          <cell r="G85">
            <v>0.24123671804161584</v>
          </cell>
        </row>
        <row r="86">
          <cell r="F86">
            <v>0.12230612438396812</v>
          </cell>
          <cell r="G86">
            <v>0.2774406213339588</v>
          </cell>
        </row>
        <row r="87">
          <cell r="F87">
            <v>0.12237222755167976</v>
          </cell>
          <cell r="G87">
            <v>0.30933805018319344</v>
          </cell>
        </row>
        <row r="88">
          <cell r="F88">
            <v>0.12438156216715818</v>
          </cell>
          <cell r="G88">
            <v>0.34322244816854969</v>
          </cell>
        </row>
        <row r="89">
          <cell r="F89">
            <v>0.12224428036611618</v>
          </cell>
          <cell r="G89">
            <v>0.36650531151897398</v>
          </cell>
        </row>
        <row r="90">
          <cell r="F90">
            <v>0.11363518516010229</v>
          </cell>
          <cell r="G90">
            <v>0.37141744910652025</v>
          </cell>
        </row>
        <row r="91">
          <cell r="F91">
            <v>0.11965755533516492</v>
          </cell>
          <cell r="G91">
            <v>0.4247692013746609</v>
          </cell>
        </row>
        <row r="92">
          <cell r="F92">
            <v>0.1351691613531906</v>
          </cell>
          <cell r="G92">
            <v>0.47461045348425784</v>
          </cell>
        </row>
        <row r="93">
          <cell r="F93">
            <v>0.14462315548136759</v>
          </cell>
          <cell r="G93">
            <v>0.49954622031269341</v>
          </cell>
        </row>
        <row r="94">
          <cell r="F94">
            <v>0.13209880547335817</v>
          </cell>
          <cell r="G94">
            <v>0.50994936120012169</v>
          </cell>
        </row>
        <row r="95">
          <cell r="F95">
            <v>0.12491319064097467</v>
          </cell>
          <cell r="G95">
            <v>0.52613864049633607</v>
          </cell>
        </row>
        <row r="96">
          <cell r="F96">
            <v>0.1201912959647943</v>
          </cell>
          <cell r="G96">
            <v>0.56051524595429347</v>
          </cell>
        </row>
        <row r="97">
          <cell r="F97">
            <v>0.13405532773841317</v>
          </cell>
          <cell r="G97">
            <v>0.58978082987966018</v>
          </cell>
        </row>
        <row r="98">
          <cell r="F98">
            <v>0.16358763637782522</v>
          </cell>
          <cell r="G98">
            <v>0.61251248013571769</v>
          </cell>
        </row>
        <row r="99">
          <cell r="F99">
            <v>0.20110119646433353</v>
          </cell>
          <cell r="G99">
            <v>0.66571185497596974</v>
          </cell>
        </row>
        <row r="100">
          <cell r="F100">
            <v>0.20775765431173018</v>
          </cell>
          <cell r="G100">
            <v>0.68599699687969484</v>
          </cell>
        </row>
        <row r="101">
          <cell r="F101">
            <v>0.21450206777537462</v>
          </cell>
          <cell r="G101">
            <v>0.7282244113001074</v>
          </cell>
        </row>
        <row r="102">
          <cell r="F102">
            <v>0.23439807457726408</v>
          </cell>
          <cell r="G102">
            <v>0.766025825972518</v>
          </cell>
        </row>
      </sheetData>
      <sheetData sheetId="21"/>
      <sheetData sheetId="22"/>
      <sheetData sheetId="23"/>
      <sheetData sheetId="24"/>
      <sheetData sheetId="25">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6">
          <cell r="H16" t="str">
            <v/>
          </cell>
        </row>
        <row r="17">
          <cell r="H17" t="str">
            <v/>
          </cell>
        </row>
        <row r="18">
          <cell r="H18" t="str">
            <v/>
          </cell>
        </row>
        <row r="19">
          <cell r="H19" t="str">
            <v/>
          </cell>
        </row>
        <row r="20">
          <cell r="H20" t="str">
            <v/>
          </cell>
        </row>
        <row r="21">
          <cell r="H21" t="str">
            <v/>
          </cell>
        </row>
        <row r="22">
          <cell r="H22" t="str">
            <v/>
          </cell>
          <cell r="L22" t="str">
            <v/>
          </cell>
        </row>
        <row r="23">
          <cell r="H23" t="str">
            <v/>
          </cell>
          <cell r="L23" t="str">
            <v/>
          </cell>
        </row>
        <row r="24">
          <cell r="H24" t="str">
            <v/>
          </cell>
          <cell r="L24" t="str">
            <v/>
          </cell>
        </row>
        <row r="25">
          <cell r="H25" t="str">
            <v/>
          </cell>
          <cell r="L25" t="str">
            <v/>
          </cell>
        </row>
        <row r="26">
          <cell r="H26" t="str">
            <v/>
          </cell>
          <cell r="L26" t="str">
            <v/>
          </cell>
        </row>
        <row r="27">
          <cell r="H27" t="str">
            <v/>
          </cell>
          <cell r="L27" t="str">
            <v/>
          </cell>
        </row>
        <row r="28">
          <cell r="H28" t="str">
            <v/>
          </cell>
          <cell r="L28" t="str">
            <v/>
          </cell>
        </row>
        <row r="29">
          <cell r="H29" t="str">
            <v/>
          </cell>
          <cell r="L29" t="str">
            <v/>
          </cell>
        </row>
        <row r="30">
          <cell r="H30" t="str">
            <v/>
          </cell>
          <cell r="L30" t="str">
            <v/>
          </cell>
        </row>
        <row r="31">
          <cell r="H31" t="str">
            <v/>
          </cell>
          <cell r="L31" t="str">
            <v/>
          </cell>
        </row>
        <row r="32">
          <cell r="H32" t="str">
            <v/>
          </cell>
          <cell r="L32" t="str">
            <v/>
          </cell>
        </row>
        <row r="33">
          <cell r="H33" t="str">
            <v/>
          </cell>
          <cell r="L33" t="str">
            <v/>
          </cell>
        </row>
        <row r="34">
          <cell r="H34">
            <v>6.1877759150480154E-2</v>
          </cell>
          <cell r="L34" t="str">
            <v/>
          </cell>
        </row>
        <row r="35">
          <cell r="H35">
            <v>6.3412859154627715E-2</v>
          </cell>
          <cell r="L35" t="str">
            <v/>
          </cell>
        </row>
        <row r="36">
          <cell r="H36">
            <v>6.2229662784449961E-2</v>
          </cell>
          <cell r="L36" t="str">
            <v/>
          </cell>
        </row>
        <row r="37">
          <cell r="H37">
            <v>5.8792704587388292E-2</v>
          </cell>
          <cell r="L37" t="str">
            <v/>
          </cell>
        </row>
        <row r="38">
          <cell r="H38">
            <v>6.6798502817074307E-2</v>
          </cell>
          <cell r="L38" t="str">
            <v/>
          </cell>
        </row>
        <row r="39">
          <cell r="H39">
            <v>6.0238424870187823E-2</v>
          </cell>
          <cell r="L39" t="str">
            <v/>
          </cell>
        </row>
        <row r="40">
          <cell r="H40">
            <v>5.4474529387754683E-2</v>
          </cell>
          <cell r="L40" t="str">
            <v/>
          </cell>
        </row>
        <row r="41">
          <cell r="H41">
            <v>4.9440896265977613E-2</v>
          </cell>
          <cell r="L41" t="str">
            <v/>
          </cell>
        </row>
        <row r="42">
          <cell r="H42">
            <v>3.6700433950644394E-2</v>
          </cell>
          <cell r="L42" t="str">
            <v/>
          </cell>
        </row>
        <row r="43">
          <cell r="H43">
            <v>2.5310209171224406E-2</v>
          </cell>
          <cell r="L43" t="str">
            <v/>
          </cell>
        </row>
        <row r="44">
          <cell r="H44">
            <v>1.0388666001693671E-2</v>
          </cell>
          <cell r="L44" t="str">
            <v/>
          </cell>
        </row>
        <row r="45">
          <cell r="H45">
            <v>-5.6202476321535961E-3</v>
          </cell>
          <cell r="L45" t="str">
            <v/>
          </cell>
        </row>
        <row r="46">
          <cell r="H46">
            <v>-1.8029395051796675E-2</v>
          </cell>
          <cell r="L46" t="str">
            <v/>
          </cell>
        </row>
        <row r="47">
          <cell r="H47">
            <v>-1.3425690199087945E-2</v>
          </cell>
          <cell r="L47" t="str">
            <v/>
          </cell>
        </row>
        <row r="48">
          <cell r="H48">
            <v>-3.5838764094079149E-3</v>
          </cell>
          <cell r="L48" t="str">
            <v/>
          </cell>
        </row>
        <row r="49">
          <cell r="H49">
            <v>4.3183597110526004E-3</v>
          </cell>
          <cell r="L49" t="str">
            <v/>
          </cell>
        </row>
        <row r="50">
          <cell r="H50">
            <v>1.1720857632531204E-2</v>
          </cell>
          <cell r="L50">
            <v>0.1590681584989333</v>
          </cell>
        </row>
        <row r="51">
          <cell r="H51">
            <v>9.7639512370067561E-3</v>
          </cell>
          <cell r="L51">
            <v>0.14529975423395891</v>
          </cell>
        </row>
        <row r="52">
          <cell r="H52">
            <v>5.4702011186507577E-3</v>
          </cell>
          <cell r="L52">
            <v>0.12897918288314114</v>
          </cell>
        </row>
        <row r="53">
          <cell r="H53">
            <v>6.3929895090265266E-3</v>
          </cell>
          <cell r="L53">
            <v>0.11332470244129159</v>
          </cell>
        </row>
        <row r="54">
          <cell r="H54">
            <v>8.5021767474235729E-3</v>
          </cell>
          <cell r="L54">
            <v>0.10569257609587676</v>
          </cell>
        </row>
        <row r="55">
          <cell r="H55">
            <v>8.1955531544668347E-3</v>
          </cell>
          <cell r="L55">
            <v>9.008244823379806E-2</v>
          </cell>
        </row>
        <row r="56">
          <cell r="H56">
            <v>1.8670091287166228E-2</v>
          </cell>
          <cell r="L56">
            <v>8.5419611385857463E-2</v>
          </cell>
        </row>
        <row r="57">
          <cell r="H57">
            <v>2.2643219822924606E-2</v>
          </cell>
          <cell r="L57">
            <v>7.7175217676827765E-2</v>
          </cell>
        </row>
        <row r="58">
          <cell r="H58">
            <v>3.0409405447794916E-2</v>
          </cell>
          <cell r="L58">
            <v>6.9303478726597298E-2</v>
          </cell>
        </row>
        <row r="59">
          <cell r="H59">
            <v>3.4504510122586964E-2</v>
          </cell>
          <cell r="L59">
            <v>6.4348533486197124E-2</v>
          </cell>
        </row>
        <row r="60">
          <cell r="H60">
            <v>2.6040385647207415E-2</v>
          </cell>
          <cell r="L60">
            <v>5.6985467645310171E-2</v>
          </cell>
        </row>
        <row r="61">
          <cell r="H61">
            <v>2.6701547925828524E-2</v>
          </cell>
          <cell r="L61">
            <v>5.4435869336678579E-2</v>
          </cell>
        </row>
        <row r="62">
          <cell r="H62">
            <v>2.0654779030746064E-2</v>
          </cell>
          <cell r="L62">
            <v>5.3257823806698842E-2</v>
          </cell>
        </row>
        <row r="63">
          <cell r="H63">
            <v>1.5553879099775457E-2</v>
          </cell>
          <cell r="L63">
            <v>5.4592203414748214E-2</v>
          </cell>
        </row>
        <row r="64">
          <cell r="H64">
            <v>2.6673239157242103E-2</v>
          </cell>
          <cell r="L64">
            <v>7.3270040800858693E-2</v>
          </cell>
        </row>
        <row r="65">
          <cell r="H65">
            <v>2.3788347798894122E-2</v>
          </cell>
          <cell r="L65">
            <v>8.3844464767726237E-2</v>
          </cell>
        </row>
        <row r="66">
          <cell r="H66">
            <v>2.4309349632662226E-2</v>
          </cell>
          <cell r="L66">
            <v>9.5596568491157788E-2</v>
          </cell>
        </row>
        <row r="67">
          <cell r="H67">
            <v>3.0400277678042025E-2</v>
          </cell>
          <cell r="L67">
            <v>9.8418171291878104E-2</v>
          </cell>
        </row>
        <row r="68">
          <cell r="H68">
            <v>2.5620218847530615E-2</v>
          </cell>
          <cell r="L68">
            <v>0.10247413605779712</v>
          </cell>
        </row>
        <row r="69">
          <cell r="H69">
            <v>2.3868354517068788E-2</v>
          </cell>
          <cell r="L69">
            <v>0.10339445957374237</v>
          </cell>
        </row>
        <row r="70">
          <cell r="H70">
            <v>2.8681348702393278E-2</v>
          </cell>
          <cell r="L70">
            <v>0.11255705956101981</v>
          </cell>
        </row>
        <row r="71">
          <cell r="H71">
            <v>3.0383893878362673E-2</v>
          </cell>
          <cell r="L71">
            <v>0.11903811393323392</v>
          </cell>
        </row>
        <row r="72">
          <cell r="H72">
            <v>3.0932585386800729E-2</v>
          </cell>
          <cell r="L72">
            <v>0.12793652032594696</v>
          </cell>
        </row>
        <row r="73">
          <cell r="H73">
            <v>4.1421850717302984E-2</v>
          </cell>
          <cell r="L73">
            <v>0.1384233207820188</v>
          </cell>
        </row>
        <row r="74">
          <cell r="H74">
            <v>4.8187317947502459E-2</v>
          </cell>
          <cell r="L74">
            <v>0.15224220076109873</v>
          </cell>
        </row>
        <row r="75">
          <cell r="H75">
            <v>5.522008724188382E-2</v>
          </cell>
          <cell r="L75">
            <v>0.16606264802065107</v>
          </cell>
        </row>
        <row r="76">
          <cell r="H76">
            <v>6.5857689053962734E-2</v>
          </cell>
          <cell r="L76">
            <v>0.17512411809274331</v>
          </cell>
        </row>
        <row r="77">
          <cell r="H77">
            <v>6.7222621627752832E-2</v>
          </cell>
          <cell r="L77">
            <v>0.18300272258684699</v>
          </cell>
        </row>
        <row r="78">
          <cell r="H78">
            <v>6.8028702551489822E-2</v>
          </cell>
          <cell r="L78">
            <v>0.18986149786479359</v>
          </cell>
        </row>
        <row r="79">
          <cell r="H79">
            <v>6.770379621982113E-2</v>
          </cell>
          <cell r="L79">
            <v>0.19926193411788531</v>
          </cell>
        </row>
        <row r="80">
          <cell r="H80">
            <v>7.3167834333857845E-2</v>
          </cell>
          <cell r="L80">
            <v>0.22225156677939384</v>
          </cell>
        </row>
        <row r="81">
          <cell r="H81">
            <v>7.7870340813003855E-2</v>
          </cell>
          <cell r="L81">
            <v>0.23417151547402243</v>
          </cell>
        </row>
        <row r="82">
          <cell r="H82">
            <v>8.0055001521080485E-2</v>
          </cell>
          <cell r="L82">
            <v>0.24926172035512828</v>
          </cell>
        </row>
        <row r="83">
          <cell r="H83">
            <v>8.8443888764373202E-2</v>
          </cell>
          <cell r="L83">
            <v>0.27215194378248292</v>
          </cell>
        </row>
        <row r="84">
          <cell r="H84">
            <v>8.8750326407073879E-2</v>
          </cell>
          <cell r="L84">
            <v>0.28432865402922569</v>
          </cell>
        </row>
        <row r="85">
          <cell r="H85">
            <v>9.0355360940223811E-2</v>
          </cell>
          <cell r="L85">
            <v>0.30073852861535205</v>
          </cell>
        </row>
        <row r="86">
          <cell r="H86">
            <v>8.7386266754920644E-2</v>
          </cell>
          <cell r="L86">
            <v>0.31233863747738677</v>
          </cell>
        </row>
        <row r="87">
          <cell r="H87">
            <v>8.29597173190295E-2</v>
          </cell>
          <cell r="L87">
            <v>0.32471138342347045</v>
          </cell>
        </row>
        <row r="88">
          <cell r="H88">
            <v>8.3942991399754627E-2</v>
          </cell>
          <cell r="L88">
            <v>0.34265142658144954</v>
          </cell>
        </row>
        <row r="89">
          <cell r="H89">
            <v>7.7171629681143342E-2</v>
          </cell>
          <cell r="L89">
            <v>0.35404180377942662</v>
          </cell>
        </row>
        <row r="90">
          <cell r="H90">
            <v>7.7486606130582017E-2</v>
          </cell>
          <cell r="L90">
            <v>0.36114389490557547</v>
          </cell>
        </row>
        <row r="91">
          <cell r="H91">
            <v>8.0844456436332882E-2</v>
          </cell>
          <cell r="L91">
            <v>0.3751719459814406</v>
          </cell>
        </row>
        <row r="92">
          <cell r="H92">
            <v>8.6681162933358105E-2</v>
          </cell>
          <cell r="L92">
            <v>0.39840000412800697</v>
          </cell>
        </row>
        <row r="93">
          <cell r="H93">
            <v>9.8206170912228719E-2</v>
          </cell>
          <cell r="L93">
            <v>0.41082612397435259</v>
          </cell>
        </row>
        <row r="94">
          <cell r="H94">
            <v>9.9469676448232319E-2</v>
          </cell>
          <cell r="L94">
            <v>0.4124262534063054</v>
          </cell>
        </row>
        <row r="95">
          <cell r="H95">
            <v>9.375285138035748E-2</v>
          </cell>
          <cell r="L95">
            <v>0.41370471011991417</v>
          </cell>
        </row>
        <row r="96">
          <cell r="H96">
            <v>9.3732169262454826E-2</v>
          </cell>
          <cell r="L96">
            <v>0.42627448433649923</v>
          </cell>
        </row>
        <row r="97">
          <cell r="H97">
            <v>0.10169738131319747</v>
          </cell>
          <cell r="L97">
            <v>0.44530088365979714</v>
          </cell>
        </row>
        <row r="98">
          <cell r="H98">
            <v>0.1127177215230049</v>
          </cell>
          <cell r="L98">
            <v>0.45711527237782035</v>
          </cell>
        </row>
        <row r="99">
          <cell r="H99">
            <v>0.12763509213359503</v>
          </cell>
          <cell r="L99">
            <v>0.47363600603368794</v>
          </cell>
        </row>
        <row r="100">
          <cell r="H100">
            <v>0.12840302195834088</v>
          </cell>
          <cell r="L100">
            <v>0.48150967196098238</v>
          </cell>
        </row>
        <row r="101">
          <cell r="H101">
            <v>0.13408301652187757</v>
          </cell>
          <cell r="L101">
            <v>0.50151355936867092</v>
          </cell>
        </row>
        <row r="102">
          <cell r="H102">
            <v>0.14301652020967176</v>
          </cell>
          <cell r="L102">
            <v>0.52007679106641147</v>
          </cell>
        </row>
      </sheetData>
      <sheetData sheetId="26"/>
      <sheetData sheetId="2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nal Table 07"/>
      <sheetName val="Final Table 08"/>
      <sheetName val="Final Table 09"/>
      <sheetName val="Final Table 10"/>
      <sheetName val="Chart1"/>
      <sheetName val="Working Table"/>
      <sheetName val="CPI"/>
      <sheetName val="Incomes"/>
      <sheetName val="CMHPI"/>
      <sheetName val="Home Prices"/>
      <sheetName val="Mortgage Rates"/>
      <sheetName val="Mortgage Payments"/>
      <sheetName val="Rent Calculations"/>
    </sheetNames>
    <sheetDataSet>
      <sheetData sheetId="0"/>
      <sheetData sheetId="1"/>
      <sheetData sheetId="2"/>
      <sheetData sheetId="3"/>
      <sheetData sheetId="4" refreshError="1"/>
      <sheetData sheetId="5"/>
      <sheetData sheetId="6"/>
      <sheetData sheetId="7">
        <row r="5">
          <cell r="C5">
            <v>2010</v>
          </cell>
          <cell r="D5">
            <v>218.05600000000001</v>
          </cell>
        </row>
      </sheetData>
      <sheetData sheetId="8"/>
      <sheetData sheetId="9">
        <row r="3">
          <cell r="B3">
            <v>173100</v>
          </cell>
        </row>
        <row r="4">
          <cell r="B4">
            <v>263.16250000000002</v>
          </cell>
        </row>
      </sheetData>
      <sheetData sheetId="10"/>
      <sheetData sheetId="11">
        <row r="16">
          <cell r="G16">
            <v>8.9200000000000002E-2</v>
          </cell>
        </row>
      </sheetData>
      <sheetData sheetId="12">
        <row r="21">
          <cell r="S21">
            <v>700.51694641578672</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List of Appendix Tables"/>
      <sheetName val="A-1"/>
      <sheetName val="A-2"/>
      <sheetName val="NU A-3"/>
      <sheetName val="A-4"/>
      <sheetName val="A-5"/>
      <sheetName val="NU A-6"/>
      <sheetName val="NU A-7"/>
      <sheetName val="A-8"/>
      <sheetName val="NU A-9"/>
      <sheetName val="NU A-10"/>
      <sheetName val="Calculations A-1"/>
      <sheetName val="Calculations 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D10">
            <v>176347.80825242717</v>
          </cell>
          <cell r="F10">
            <v>169796.18689320385</v>
          </cell>
          <cell r="J10">
            <v>144465.98081310678</v>
          </cell>
          <cell r="K10">
            <v>45610.204029126209</v>
          </cell>
        </row>
        <row r="11">
          <cell r="D11">
            <v>170498.31793179316</v>
          </cell>
          <cell r="F11">
            <v>164311.87678767875</v>
          </cell>
          <cell r="J11">
            <v>128591.36562156214</v>
          </cell>
          <cell r="K11">
            <v>43206.10495049505</v>
          </cell>
        </row>
        <row r="12">
          <cell r="D12">
            <v>161536.50466321243</v>
          </cell>
          <cell r="F12">
            <v>158040.04352331607</v>
          </cell>
          <cell r="J12">
            <v>96646.847854922278</v>
          </cell>
          <cell r="K12">
            <v>36218.675461139894</v>
          </cell>
        </row>
        <row r="13">
          <cell r="D13">
            <v>170059.30421686746</v>
          </cell>
          <cell r="F13">
            <v>158767.18574297189</v>
          </cell>
          <cell r="J13">
            <v>163767.33580321286</v>
          </cell>
          <cell r="K13">
            <v>50694.836676706829</v>
          </cell>
        </row>
        <row r="14">
          <cell r="D14">
            <v>172980.03946102018</v>
          </cell>
          <cell r="F14">
            <v>156742.86429258902</v>
          </cell>
          <cell r="J14">
            <v>187041.43315688163</v>
          </cell>
          <cell r="K14">
            <v>61097.242723772848</v>
          </cell>
        </row>
        <row r="15">
          <cell r="D15">
            <v>176230.09014869889</v>
          </cell>
          <cell r="F15">
            <v>157833.59200743496</v>
          </cell>
          <cell r="J15">
            <v>182606.14916356877</v>
          </cell>
          <cell r="K15">
            <v>59661.097778810406</v>
          </cell>
        </row>
        <row r="16">
          <cell r="D16">
            <v>188817.40875912411</v>
          </cell>
          <cell r="F16">
            <v>164804.76003649636</v>
          </cell>
          <cell r="J16">
            <v>213714.62599452556</v>
          </cell>
          <cell r="K16">
            <v>63701.247098540152</v>
          </cell>
        </row>
        <row r="17">
          <cell r="D17">
            <v>206920.11883802817</v>
          </cell>
          <cell r="F17">
            <v>169496.28873239437</v>
          </cell>
          <cell r="J17">
            <v>232099.03014084508</v>
          </cell>
          <cell r="K17">
            <v>50397.424542253517</v>
          </cell>
        </row>
        <row r="18">
          <cell r="D18">
            <v>213910.71428571429</v>
          </cell>
          <cell r="F18">
            <v>169797.57142857142</v>
          </cell>
          <cell r="J18">
            <v>228348.26142857142</v>
          </cell>
          <cell r="K18">
            <v>42398.054285714286</v>
          </cell>
        </row>
        <row r="19">
          <cell r="D19">
            <v>217682.90322580645</v>
          </cell>
          <cell r="F19">
            <v>171606.6887096774</v>
          </cell>
          <cell r="J19">
            <v>219368.1317016129</v>
          </cell>
          <cell r="K19">
            <v>40459.995612903229</v>
          </cell>
        </row>
        <row r="20">
          <cell r="D20">
            <v>211514.94338179036</v>
          </cell>
          <cell r="F20">
            <v>167456.50114766642</v>
          </cell>
          <cell r="J20">
            <v>194280.51992348893</v>
          </cell>
          <cell r="K20">
            <v>33129.883320581488</v>
          </cell>
        </row>
        <row r="21">
          <cell r="D21">
            <v>198184.14096916301</v>
          </cell>
          <cell r="F21">
            <v>169612.59397944203</v>
          </cell>
          <cell r="J21">
            <v>164207.12153450807</v>
          </cell>
          <cell r="K21">
            <v>25017.444728340677</v>
          </cell>
        </row>
        <row r="22">
          <cell r="D22">
            <v>194797.49465431218</v>
          </cell>
          <cell r="F22">
            <v>169145.14967925873</v>
          </cell>
          <cell r="J22">
            <v>195560.65191732001</v>
          </cell>
          <cell r="K22">
            <v>20993.237818959369</v>
          </cell>
        </row>
        <row r="23">
          <cell r="D23">
            <v>196918.91695501731</v>
          </cell>
          <cell r="F23">
            <v>169832.83667820069</v>
          </cell>
          <cell r="J23">
            <v>218125.44980622837</v>
          </cell>
          <cell r="K23">
            <v>16793.369771626298</v>
          </cell>
          <cell r="L23">
            <v>89149.007550173017</v>
          </cell>
        </row>
        <row r="24">
          <cell r="D24">
            <v>197314.91228070177</v>
          </cell>
          <cell r="F24">
            <v>172271.09649122809</v>
          </cell>
          <cell r="J24">
            <v>246353.73921052634</v>
          </cell>
          <cell r="K24">
            <v>21372.24061403509</v>
          </cell>
          <cell r="L24">
            <v>98115.599035087725</v>
          </cell>
        </row>
        <row r="25">
          <cell r="D25">
            <v>197633.41272965877</v>
          </cell>
          <cell r="F25">
            <v>172689.38976377953</v>
          </cell>
          <cell r="J25">
            <v>226584.7151246719</v>
          </cell>
          <cell r="K25">
            <v>26403.764901574799</v>
          </cell>
          <cell r="L25">
            <v>83713.026660104981</v>
          </cell>
        </row>
        <row r="26">
          <cell r="D26">
            <v>200710.38878266411</v>
          </cell>
          <cell r="F26">
            <v>175764.95474824728</v>
          </cell>
          <cell r="J26">
            <v>244852.3378585086</v>
          </cell>
          <cell r="K26">
            <v>29137.413868706179</v>
          </cell>
          <cell r="L26">
            <v>95166.83084130018</v>
          </cell>
        </row>
        <row r="27">
          <cell r="D27">
            <v>204617.40809968847</v>
          </cell>
          <cell r="F27">
            <v>180792.09345794393</v>
          </cell>
          <cell r="J27">
            <v>245511.45844859813</v>
          </cell>
          <cell r="K27">
            <v>32070.274996884735</v>
          </cell>
          <cell r="L27">
            <v>93386.824461059179</v>
          </cell>
        </row>
        <row r="28">
          <cell r="D28">
            <v>210449.06441717793</v>
          </cell>
          <cell r="F28">
            <v>187679.16564417179</v>
          </cell>
          <cell r="J28">
            <v>275183.19663190184</v>
          </cell>
          <cell r="K28">
            <v>33911.969239263803</v>
          </cell>
          <cell r="L28">
            <v>99856.356073619623</v>
          </cell>
        </row>
        <row r="29">
          <cell r="D29">
            <v>217378.02521008404</v>
          </cell>
          <cell r="F29">
            <v>190644.5786314526</v>
          </cell>
          <cell r="J29">
            <v>302218.9132232893</v>
          </cell>
          <cell r="K29">
            <v>37040.67542617047</v>
          </cell>
          <cell r="L29">
            <v>101304.9106182473</v>
          </cell>
        </row>
        <row r="30">
          <cell r="D30">
            <v>220758.94889663183</v>
          </cell>
          <cell r="F30">
            <v>192412.97735191637</v>
          </cell>
          <cell r="J30">
            <v>309308.10645760741</v>
          </cell>
          <cell r="K30">
            <v>36913.770040650408</v>
          </cell>
          <cell r="L30">
            <v>105926.41375725901</v>
          </cell>
        </row>
        <row r="31">
          <cell r="D31">
            <v>222525.76397515528</v>
          </cell>
          <cell r="F31">
            <v>198901.45341614907</v>
          </cell>
          <cell r="J31">
            <v>316370.16236024845</v>
          </cell>
          <cell r="K31">
            <v>38491.114596273292</v>
          </cell>
          <cell r="L31">
            <v>107989.77186335404</v>
          </cell>
        </row>
        <row r="32">
          <cell r="D32">
            <v>234566.73929961087</v>
          </cell>
          <cell r="F32">
            <v>209559.62423568647</v>
          </cell>
          <cell r="J32">
            <v>332455.84086158976</v>
          </cell>
          <cell r="K32">
            <v>41201.722779321841</v>
          </cell>
          <cell r="L32">
            <v>122353.56222901611</v>
          </cell>
        </row>
        <row r="33">
          <cell r="D33">
            <v>238386.4402173913</v>
          </cell>
          <cell r="F33">
            <v>220293.5206521739</v>
          </cell>
          <cell r="J33">
            <v>379676.24959239131</v>
          </cell>
          <cell r="K33">
            <v>42929.119152173909</v>
          </cell>
          <cell r="L33">
            <v>122669.9946521739</v>
          </cell>
        </row>
        <row r="34">
          <cell r="D34">
            <v>263163.14981471677</v>
          </cell>
          <cell r="F34">
            <v>232440.93594494439</v>
          </cell>
          <cell r="J34">
            <v>449588.63961355214</v>
          </cell>
          <cell r="K34">
            <v>47564.655457914232</v>
          </cell>
          <cell r="L34">
            <v>137415.22319216514</v>
          </cell>
        </row>
        <row r="35">
          <cell r="D35">
            <v>277459.31950844853</v>
          </cell>
          <cell r="F35">
            <v>252235.74500768047</v>
          </cell>
          <cell r="J35">
            <v>499300.08136200713</v>
          </cell>
          <cell r="K35">
            <v>54474.858591909877</v>
          </cell>
          <cell r="L35">
            <v>150986.70449564772</v>
          </cell>
        </row>
        <row r="36">
          <cell r="D36">
            <v>275037.02132936509</v>
          </cell>
          <cell r="F36">
            <v>247589.10763888891</v>
          </cell>
          <cell r="J36">
            <v>464156.49396329367</v>
          </cell>
          <cell r="K36">
            <v>58915.942544642858</v>
          </cell>
          <cell r="L36">
            <v>161709.4950843254</v>
          </cell>
        </row>
        <row r="37">
          <cell r="D37">
            <v>268939.13485931454</v>
          </cell>
          <cell r="F37">
            <v>236393.05157662218</v>
          </cell>
          <cell r="J37">
            <v>331084.79601817281</v>
          </cell>
          <cell r="K37">
            <v>53114.123047911176</v>
          </cell>
          <cell r="L37">
            <v>150908.59409574518</v>
          </cell>
        </row>
        <row r="38">
          <cell r="D38">
            <v>242487.75864711593</v>
          </cell>
          <cell r="F38">
            <v>205398.93731160273</v>
          </cell>
          <cell r="J38">
            <v>194090.50344862821</v>
          </cell>
          <cell r="K38">
            <v>46322.370714760124</v>
          </cell>
          <cell r="L38">
            <v>125521.10846574361</v>
          </cell>
        </row>
        <row r="39">
          <cell r="D39">
            <v>227206.87480481219</v>
          </cell>
          <cell r="F39">
            <v>180444.40772454167</v>
          </cell>
          <cell r="J39">
            <v>110443.30117415644</v>
          </cell>
          <cell r="K39">
            <v>29921.688016519296</v>
          </cell>
          <cell r="L39">
            <v>117470.25306590472</v>
          </cell>
        </row>
        <row r="40">
          <cell r="D40">
            <v>228801.180430715</v>
          </cell>
          <cell r="F40">
            <v>178563.95100341196</v>
          </cell>
          <cell r="J40">
            <v>116122.27267766076</v>
          </cell>
          <cell r="K40">
            <v>15130.999614777853</v>
          </cell>
          <cell r="L40">
            <v>115085.5495652493</v>
          </cell>
        </row>
        <row r="41">
          <cell r="D41">
            <v>227200</v>
          </cell>
          <cell r="F41">
            <v>166200</v>
          </cell>
          <cell r="J41">
            <v>106742</v>
          </cell>
          <cell r="K41">
            <v>14753</v>
          </cell>
          <cell r="L41">
            <v>115769.99999999999</v>
          </cell>
        </row>
      </sheetData>
      <sheetData sheetId="1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10"/>
      <sheetName val="Payment calc"/>
      <sheetName val="Rent calculations"/>
    </sheetNames>
    <sheetDataSet>
      <sheetData sheetId="0" refreshError="1"/>
      <sheetData sheetId="1">
        <row r="5">
          <cell r="D5">
            <v>1183.0334058775547</v>
          </cell>
        </row>
        <row r="6">
          <cell r="D6">
            <v>1108.9520402188075</v>
          </cell>
        </row>
        <row r="7">
          <cell r="D7">
            <v>1025.5402879883482</v>
          </cell>
        </row>
        <row r="8">
          <cell r="D8">
            <v>925.11893482741743</v>
          </cell>
        </row>
        <row r="9">
          <cell r="D9">
            <v>1040.8383688163813</v>
          </cell>
        </row>
        <row r="10">
          <cell r="D10">
            <v>997.07581225660795</v>
          </cell>
        </row>
        <row r="11">
          <cell r="D11">
            <v>1007.2060460125316</v>
          </cell>
        </row>
        <row r="12">
          <cell r="D12">
            <v>1013.701234299307</v>
          </cell>
        </row>
        <row r="13">
          <cell r="D13">
            <v>985.38154746788973</v>
          </cell>
        </row>
        <row r="14">
          <cell r="D14">
            <v>1053.2074527959417</v>
          </cell>
        </row>
        <row r="15">
          <cell r="D15">
            <v>1124.8408974376246</v>
          </cell>
        </row>
        <row r="16">
          <cell r="D16">
            <v>1041.2797350408441</v>
          </cell>
        </row>
        <row r="17">
          <cell r="D17">
            <v>1055.3318961927741</v>
          </cell>
        </row>
        <row r="18">
          <cell r="D18">
            <v>1026.493857810985</v>
          </cell>
        </row>
        <row r="19">
          <cell r="D19">
            <v>1082.3513609805282</v>
          </cell>
        </row>
        <row r="20">
          <cell r="D20">
            <v>1184.1700754856347</v>
          </cell>
        </row>
        <row r="21">
          <cell r="D21">
            <v>1240.1050892985811</v>
          </cell>
        </row>
        <row r="22">
          <cell r="D22">
            <v>1162.9953665306246</v>
          </cell>
        </row>
        <row r="23">
          <cell r="D23">
            <v>984.20042335235621</v>
          </cell>
        </row>
        <row r="24">
          <cell r="D24">
            <v>780.27380258173014</v>
          </cell>
        </row>
        <row r="25">
          <cell r="D25">
            <v>739.16673995051315</v>
          </cell>
        </row>
        <row r="26">
          <cell r="D26">
            <v>669.24075534739973</v>
          </cell>
        </row>
      </sheetData>
      <sheetData sheetId="2">
        <row r="3">
          <cell r="O3">
            <v>816.66915396143804</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Final prices"/>
      <sheetName val="Payment - 10% down"/>
      <sheetName val="Payment -20% down"/>
      <sheetName val="Final income"/>
      <sheetName val="Price to income ratio"/>
      <sheetName val="Payment to Income ratio 10%"/>
      <sheetName val="Payment to Income ratio 20%"/>
    </sheetNames>
    <sheetDataSet>
      <sheetData sheetId="0">
        <row r="6">
          <cell r="B6">
            <v>96.849998499999998</v>
          </cell>
          <cell r="C6">
            <v>102.02499924999999</v>
          </cell>
          <cell r="D6">
            <v>105.05</v>
          </cell>
          <cell r="E6">
            <v>108.24999999999999</v>
          </cell>
          <cell r="F6">
            <v>112.72499999999999</v>
          </cell>
          <cell r="G6">
            <v>115.85000000000001</v>
          </cell>
          <cell r="H6">
            <v>121.875</v>
          </cell>
          <cell r="I6">
            <v>128.05000250000001</v>
          </cell>
          <cell r="J6">
            <v>134.97500000000002</v>
          </cell>
          <cell r="K6">
            <v>140.27499499999999</v>
          </cell>
          <cell r="L6">
            <v>146</v>
          </cell>
          <cell r="M6">
            <v>154.5</v>
          </cell>
          <cell r="N6">
            <v>166.22500500000001</v>
          </cell>
          <cell r="O6">
            <v>178.2999925</v>
          </cell>
          <cell r="P6">
            <v>192.799995</v>
          </cell>
          <cell r="Q6">
            <v>217.47500250000002</v>
          </cell>
          <cell r="R6">
            <v>221.87500499999999</v>
          </cell>
          <cell r="S6">
            <v>215.52500250000003</v>
          </cell>
          <cell r="T6">
            <v>195.77499749999998</v>
          </cell>
          <cell r="U6">
            <v>172.5</v>
          </cell>
          <cell r="V6">
            <v>172.9</v>
          </cell>
          <cell r="W6">
            <v>166.07500249999998</v>
          </cell>
        </row>
        <row r="7">
          <cell r="B7">
            <v>67.425001000000009</v>
          </cell>
          <cell r="C7">
            <v>71.475000249999994</v>
          </cell>
          <cell r="D7">
            <v>79.175001250000008</v>
          </cell>
          <cell r="E7">
            <v>82.750000249999999</v>
          </cell>
          <cell r="F7">
            <v>84.499999750000001</v>
          </cell>
          <cell r="G7">
            <v>91.475000499999993</v>
          </cell>
          <cell r="H7">
            <v>98.04999875</v>
          </cell>
          <cell r="I7">
            <v>105.25</v>
          </cell>
          <cell r="J7">
            <v>105.8750005</v>
          </cell>
          <cell r="K7">
            <v>104.10000050000001</v>
          </cell>
          <cell r="L7">
            <v>109.575</v>
          </cell>
          <cell r="M7">
            <v>113.19999999999999</v>
          </cell>
          <cell r="N7">
            <v>114.67500000000001</v>
          </cell>
          <cell r="O7">
            <v>116.05000000000001</v>
          </cell>
          <cell r="P7">
            <v>115.125</v>
          </cell>
          <cell r="Q7">
            <v>119.4750025</v>
          </cell>
          <cell r="R7">
            <v>113.60000000000001</v>
          </cell>
          <cell r="S7">
            <v>117.52500000000001</v>
          </cell>
          <cell r="T7">
            <v>99.250000249999999</v>
          </cell>
          <cell r="U7">
            <v>87.749999500000001</v>
          </cell>
          <cell r="V7">
            <v>106.50000075</v>
          </cell>
          <cell r="W7">
            <v>90.025000500000004</v>
          </cell>
        </row>
        <row r="8">
          <cell r="B8">
            <v>106.45000000000002</v>
          </cell>
          <cell r="C8">
            <v>109.8</v>
          </cell>
          <cell r="D8">
            <v>111.1</v>
          </cell>
          <cell r="E8">
            <v>111.875</v>
          </cell>
          <cell r="F8">
            <v>111.95</v>
          </cell>
          <cell r="G8">
            <v>105.825</v>
          </cell>
          <cell r="H8">
            <v>106.72499999999999</v>
          </cell>
          <cell r="I8">
            <v>104.95</v>
          </cell>
          <cell r="J8">
            <v>106.425</v>
          </cell>
          <cell r="K8">
            <v>105.72499999999999</v>
          </cell>
          <cell r="L8">
            <v>110.27500000000001</v>
          </cell>
          <cell r="M8">
            <v>120.825</v>
          </cell>
          <cell r="N8">
            <v>125.325</v>
          </cell>
          <cell r="O8">
            <v>141.07499749999999</v>
          </cell>
          <cell r="P8">
            <v>159.77499749999998</v>
          </cell>
          <cell r="Q8">
            <v>182.52499999999998</v>
          </cell>
          <cell r="R8">
            <v>194.8</v>
          </cell>
          <cell r="S8">
            <v>199.55000250000001</v>
          </cell>
          <cell r="T8">
            <v>197.7750025</v>
          </cell>
          <cell r="U8">
            <v>187.99999500000001</v>
          </cell>
          <cell r="V8">
            <v>195.65</v>
          </cell>
          <cell r="W8">
            <v>192.25000499999999</v>
          </cell>
        </row>
        <row r="9">
          <cell r="B9">
            <v>84.275001500000002</v>
          </cell>
          <cell r="C9">
            <v>86.549999249999999</v>
          </cell>
          <cell r="D9">
            <v>91.874998000000005</v>
          </cell>
          <cell r="E9">
            <v>100.17500049999998</v>
          </cell>
          <cell r="F9">
            <v>109.65</v>
          </cell>
          <cell r="G9">
            <v>116.4</v>
          </cell>
          <cell r="H9">
            <v>122.17500000000001</v>
          </cell>
          <cell r="I9">
            <v>126.4749975</v>
          </cell>
          <cell r="J9">
            <v>128</v>
          </cell>
          <cell r="K9">
            <v>130.00000249999999</v>
          </cell>
          <cell r="L9">
            <v>130.12499500000001</v>
          </cell>
          <cell r="M9">
            <v>135.23333666666667</v>
          </cell>
          <cell r="N9">
            <v>133.37499750000001</v>
          </cell>
          <cell r="O9">
            <v>138.07500249999998</v>
          </cell>
          <cell r="P9">
            <v>145.0999975</v>
          </cell>
          <cell r="Q9">
            <v>166.57500249999998</v>
          </cell>
          <cell r="R9">
            <v>183.9749975</v>
          </cell>
          <cell r="S9">
            <v>198.5</v>
          </cell>
          <cell r="T9">
            <v>191.74999500000001</v>
          </cell>
          <cell r="U9">
            <v>180.97500499999998</v>
          </cell>
          <cell r="V9">
            <v>179.17500000000001</v>
          </cell>
          <cell r="W9">
            <v>167.79999750000002</v>
          </cell>
        </row>
        <row r="10">
          <cell r="L10">
            <v>114.77499999999999</v>
          </cell>
          <cell r="M10">
            <v>123.02499750000001</v>
          </cell>
          <cell r="N10">
            <v>160.05000000000001</v>
          </cell>
          <cell r="O10">
            <v>181.92500250000001</v>
          </cell>
          <cell r="P10">
            <v>205.175005</v>
          </cell>
          <cell r="Q10">
            <v>241.07500249999998</v>
          </cell>
          <cell r="R10">
            <v>249.19999749999999</v>
          </cell>
          <cell r="S10">
            <v>259.22500000000002</v>
          </cell>
          <cell r="T10">
            <v>242.9749975</v>
          </cell>
          <cell r="U10">
            <v>222.62500500000002</v>
          </cell>
          <cell r="V10">
            <v>224.6</v>
          </cell>
          <cell r="W10">
            <v>185.70000250000001</v>
          </cell>
        </row>
        <row r="11">
          <cell r="B11">
            <v>86.225000499999993</v>
          </cell>
          <cell r="C11">
            <v>87.374998000000005</v>
          </cell>
          <cell r="D11">
            <v>89.525001500000002</v>
          </cell>
          <cell r="E11">
            <v>91.575000999999986</v>
          </cell>
          <cell r="F11">
            <v>93.575000749999987</v>
          </cell>
          <cell r="G11">
            <v>97.150001500000002</v>
          </cell>
          <cell r="H11">
            <v>100.74999925</v>
          </cell>
          <cell r="I11">
            <v>108</v>
          </cell>
          <cell r="J11">
            <v>115.94999999999999</v>
          </cell>
          <cell r="K11">
            <v>123.30000000000001</v>
          </cell>
          <cell r="L11">
            <v>130.82499749999999</v>
          </cell>
          <cell r="M11">
            <v>138.80000000000001</v>
          </cell>
          <cell r="N11">
            <v>146.2249975</v>
          </cell>
          <cell r="O11">
            <v>152.0499925</v>
          </cell>
          <cell r="P11">
            <v>156.6</v>
          </cell>
          <cell r="Q11">
            <v>166.85</v>
          </cell>
          <cell r="R11">
            <v>171.29999750000002</v>
          </cell>
          <cell r="S11">
            <v>171.37499750000001</v>
          </cell>
          <cell r="T11">
            <v>148.19999999999999</v>
          </cell>
          <cell r="U11">
            <v>122.7999975</v>
          </cell>
          <cell r="V11">
            <v>113.875</v>
          </cell>
          <cell r="W11">
            <v>98.600000249999994</v>
          </cell>
        </row>
        <row r="12">
          <cell r="C12">
            <v>76.199996999999996</v>
          </cell>
          <cell r="D12">
            <v>83.549999249999999</v>
          </cell>
          <cell r="E12">
            <v>91.049999</v>
          </cell>
          <cell r="F12">
            <v>96.200000750000001</v>
          </cell>
          <cell r="G12">
            <v>101.4</v>
          </cell>
          <cell r="H12">
            <v>108.19999999999999</v>
          </cell>
          <cell r="I12">
            <v>118.1</v>
          </cell>
          <cell r="J12">
            <v>123.65</v>
          </cell>
          <cell r="K12">
            <v>129.52500499999999</v>
          </cell>
          <cell r="L12">
            <v>147.5</v>
          </cell>
          <cell r="M12">
            <v>152.44999749999999</v>
          </cell>
          <cell r="N12">
            <v>156.64999749999998</v>
          </cell>
          <cell r="O12">
            <v>156.125</v>
          </cell>
          <cell r="P12">
            <v>154.77500000000001</v>
          </cell>
          <cell r="Q12">
            <v>163.75000499999999</v>
          </cell>
          <cell r="R12">
            <v>173.50000249999999</v>
          </cell>
          <cell r="S12">
            <v>184.00000249999999</v>
          </cell>
          <cell r="T12">
            <v>188.59999749999997</v>
          </cell>
          <cell r="U12">
            <v>187.02500249999997</v>
          </cell>
          <cell r="V12">
            <v>193.60000250000002</v>
          </cell>
          <cell r="W12">
            <v>192.67499750000002</v>
          </cell>
        </row>
        <row r="13">
          <cell r="B13">
            <v>89</v>
          </cell>
          <cell r="C13">
            <v>92.550001250000008</v>
          </cell>
          <cell r="D13">
            <v>95.575000750000001</v>
          </cell>
          <cell r="E13">
            <v>97.325000000000003</v>
          </cell>
          <cell r="F13">
            <v>96.799998249999987</v>
          </cell>
          <cell r="G13">
            <v>93.599998499999998</v>
          </cell>
          <cell r="H13">
            <v>94.9</v>
          </cell>
          <cell r="I13">
            <v>99.399999999999991</v>
          </cell>
          <cell r="J13">
            <v>101.30000100000001</v>
          </cell>
          <cell r="K13">
            <v>107.1749995</v>
          </cell>
          <cell r="L13">
            <v>127.1</v>
          </cell>
          <cell r="M13">
            <v>132.9749975</v>
          </cell>
          <cell r="N13">
            <v>151.19999749999999</v>
          </cell>
          <cell r="O13">
            <v>178.55</v>
          </cell>
          <cell r="P13">
            <v>214.72500249999999</v>
          </cell>
          <cell r="Q13">
            <v>260.95000500000003</v>
          </cell>
          <cell r="R13">
            <v>278.84999749999997</v>
          </cell>
          <cell r="S13">
            <v>284.75</v>
          </cell>
          <cell r="T13">
            <v>272.57500500000003</v>
          </cell>
          <cell r="U13">
            <v>250.95000000000002</v>
          </cell>
          <cell r="V13">
            <v>245.25</v>
          </cell>
          <cell r="W13">
            <v>228.72500250000002</v>
          </cell>
        </row>
        <row r="14">
          <cell r="B14">
            <v>64.775000500000004</v>
          </cell>
          <cell r="C14">
            <v>69.124998000000005</v>
          </cell>
          <cell r="D14">
            <v>73.400001500000002</v>
          </cell>
          <cell r="E14">
            <v>75.725002250000003</v>
          </cell>
          <cell r="F14">
            <v>77.399999750000006</v>
          </cell>
          <cell r="G14">
            <v>84.125001749999996</v>
          </cell>
          <cell r="H14">
            <v>87.674999249999999</v>
          </cell>
          <cell r="I14">
            <v>92.149999500000007</v>
          </cell>
          <cell r="J14">
            <v>98.049999500000013</v>
          </cell>
          <cell r="K14">
            <v>103.27499949999999</v>
          </cell>
          <cell r="L14">
            <v>109</v>
          </cell>
          <cell r="M14">
            <v>113.95</v>
          </cell>
          <cell r="N14">
            <v>116.5</v>
          </cell>
          <cell r="O14">
            <v>121.22499999999999</v>
          </cell>
          <cell r="P14">
            <v>127.3</v>
          </cell>
          <cell r="Q14">
            <v>143.99999750000001</v>
          </cell>
          <cell r="R14">
            <v>169.62499250000002</v>
          </cell>
          <cell r="S14">
            <v>174.14999999999998</v>
          </cell>
          <cell r="T14">
            <v>165.549995</v>
          </cell>
          <cell r="U14">
            <v>163.0499925</v>
          </cell>
          <cell r="V14">
            <v>169.52499749999998</v>
          </cell>
          <cell r="W14">
            <v>162.89999749999998</v>
          </cell>
        </row>
        <row r="15">
          <cell r="B15">
            <v>80.475000249999994</v>
          </cell>
          <cell r="C15">
            <v>85.999997999999991</v>
          </cell>
          <cell r="D15">
            <v>91</v>
          </cell>
          <cell r="E15">
            <v>96.05</v>
          </cell>
          <cell r="F15">
            <v>100.125</v>
          </cell>
          <cell r="G15">
            <v>104.04999924999998</v>
          </cell>
          <cell r="H15">
            <v>114.27500000000001</v>
          </cell>
          <cell r="I15">
            <v>118.5</v>
          </cell>
          <cell r="J15">
            <v>122.69999999999999</v>
          </cell>
          <cell r="K15">
            <v>126.95</v>
          </cell>
          <cell r="L15">
            <v>125.4</v>
          </cell>
          <cell r="M15">
            <v>133.20000249999998</v>
          </cell>
          <cell r="N15">
            <v>137.25000499999999</v>
          </cell>
          <cell r="O15">
            <v>136.9749975</v>
          </cell>
          <cell r="P15">
            <v>146.05000000000001</v>
          </cell>
          <cell r="Q15">
            <v>156.85000250000002</v>
          </cell>
          <cell r="R15">
            <v>164.99999750000001</v>
          </cell>
          <cell r="S15">
            <v>161.0999975</v>
          </cell>
          <cell r="T15">
            <v>152.05000000000001</v>
          </cell>
          <cell r="U15">
            <v>145.07499749999999</v>
          </cell>
          <cell r="V15">
            <v>142.82500249999998</v>
          </cell>
          <cell r="W15">
            <v>138.99999250000002</v>
          </cell>
        </row>
        <row r="16">
          <cell r="B16">
            <v>69.225000249999994</v>
          </cell>
          <cell r="C16">
            <v>76.799999249999999</v>
          </cell>
          <cell r="D16">
            <v>82.725000499999993</v>
          </cell>
          <cell r="E16">
            <v>91.075002749999996</v>
          </cell>
          <cell r="F16">
            <v>99.325000750000001</v>
          </cell>
          <cell r="G16">
            <v>98.850000749999992</v>
          </cell>
          <cell r="H16">
            <v>101.1500005</v>
          </cell>
          <cell r="I16">
            <v>102.22499925</v>
          </cell>
          <cell r="J16">
            <v>109.07499999999999</v>
          </cell>
          <cell r="K16">
            <v>123.625</v>
          </cell>
          <cell r="L16">
            <v>125.67500250000001</v>
          </cell>
          <cell r="M16">
            <v>127.425</v>
          </cell>
          <cell r="N16">
            <v>123.125</v>
          </cell>
          <cell r="O16">
            <v>129.6</v>
          </cell>
          <cell r="P16">
            <v>136.06666666666666</v>
          </cell>
          <cell r="Q16">
            <v>156.55000000000001</v>
          </cell>
          <cell r="R16">
            <v>208.63333</v>
          </cell>
          <cell r="S16">
            <v>205.97500250000002</v>
          </cell>
          <cell r="T16">
            <v>185.12499750000001</v>
          </cell>
          <cell r="U16">
            <v>153.79999750000002</v>
          </cell>
          <cell r="V16">
            <v>139.07500249999998</v>
          </cell>
          <cell r="W16">
            <v>119.65</v>
          </cell>
        </row>
        <row r="17">
          <cell r="B17">
            <v>159.9000025</v>
          </cell>
          <cell r="C17">
            <v>155.42500000000001</v>
          </cell>
          <cell r="D17">
            <v>157.02500000000001</v>
          </cell>
          <cell r="E17">
            <v>158.27499749999998</v>
          </cell>
          <cell r="F17">
            <v>165.07500249999998</v>
          </cell>
          <cell r="G17">
            <v>164.7</v>
          </cell>
          <cell r="H17">
            <v>173.74999500000001</v>
          </cell>
          <cell r="K17">
            <v>240.924995</v>
          </cell>
          <cell r="L17">
            <v>276.050005</v>
          </cell>
          <cell r="M17">
            <v>288.425005</v>
          </cell>
          <cell r="N17">
            <v>331.92500250000001</v>
          </cell>
          <cell r="O17">
            <v>356.30000500000006</v>
          </cell>
          <cell r="P17">
            <v>387.27500750000002</v>
          </cell>
          <cell r="Q17">
            <v>410.77499999999998</v>
          </cell>
          <cell r="R17">
            <v>403.2749925</v>
          </cell>
          <cell r="S17">
            <v>398.32500249999998</v>
          </cell>
          <cell r="T17">
            <v>358.62500750000004</v>
          </cell>
          <cell r="U17">
            <v>326.82500500000003</v>
          </cell>
          <cell r="V17">
            <v>348.84999249999998</v>
          </cell>
          <cell r="W17">
            <v>342.62500750000004</v>
          </cell>
        </row>
        <row r="18">
          <cell r="N18">
            <v>376.25</v>
          </cell>
          <cell r="O18">
            <v>417.95000500000003</v>
          </cell>
          <cell r="P18">
            <v>437.42500000000001</v>
          </cell>
          <cell r="Q18">
            <v>472.04999499999997</v>
          </cell>
          <cell r="R18">
            <v>473.52499999999998</v>
          </cell>
          <cell r="S18">
            <v>484.375</v>
          </cell>
          <cell r="T18">
            <v>435.35</v>
          </cell>
          <cell r="U18">
            <v>374.70000249999998</v>
          </cell>
          <cell r="V18">
            <v>405.125</v>
          </cell>
          <cell r="W18">
            <v>398.57499749999999</v>
          </cell>
        </row>
        <row r="19">
          <cell r="B19">
            <v>78.049999</v>
          </cell>
          <cell r="C19">
            <v>80.925001250000008</v>
          </cell>
          <cell r="D19">
            <v>83.099998499999998</v>
          </cell>
          <cell r="E19">
            <v>84.649999750000006</v>
          </cell>
          <cell r="F19">
            <v>83.75</v>
          </cell>
          <cell r="G19">
            <v>82.524999750000006</v>
          </cell>
          <cell r="H19">
            <v>83.975000499999993</v>
          </cell>
          <cell r="I19">
            <v>83.024999500000007</v>
          </cell>
          <cell r="J19">
            <v>85.399999750000006</v>
          </cell>
          <cell r="K19">
            <v>82.424999</v>
          </cell>
          <cell r="L19">
            <v>80.850002500000002</v>
          </cell>
          <cell r="M19">
            <v>85.050001250000008</v>
          </cell>
          <cell r="N19">
            <v>86.425001000000009</v>
          </cell>
          <cell r="O19">
            <v>90.175001249999994</v>
          </cell>
          <cell r="P19">
            <v>94.450000749999987</v>
          </cell>
          <cell r="Q19">
            <v>98.275001250000003</v>
          </cell>
          <cell r="R19">
            <v>98.475000249999994</v>
          </cell>
          <cell r="S19">
            <v>102.79999949999998</v>
          </cell>
          <cell r="T19">
            <v>106.2999995</v>
          </cell>
          <cell r="U19">
            <v>111.24999925</v>
          </cell>
          <cell r="V19">
            <v>120.825</v>
          </cell>
          <cell r="W19">
            <v>118.325</v>
          </cell>
        </row>
        <row r="20">
          <cell r="B20">
            <v>68.949998499999992</v>
          </cell>
          <cell r="C20">
            <v>71.075000750000001</v>
          </cell>
          <cell r="D20">
            <v>70.949998749999992</v>
          </cell>
          <cell r="E20">
            <v>76.675001250000008</v>
          </cell>
          <cell r="F20">
            <v>77.674999</v>
          </cell>
          <cell r="G20">
            <v>77.249998250000004</v>
          </cell>
          <cell r="H20">
            <v>78.449998749999992</v>
          </cell>
          <cell r="I20">
            <v>85.249998250000004</v>
          </cell>
          <cell r="J20">
            <v>88.274999750000006</v>
          </cell>
          <cell r="K20">
            <v>94.350000249999994</v>
          </cell>
          <cell r="L20">
            <v>101.70000025</v>
          </cell>
          <cell r="M20">
            <v>124.20000250000001</v>
          </cell>
          <cell r="N20">
            <v>133.72499749999997</v>
          </cell>
          <cell r="O20">
            <v>151.75</v>
          </cell>
          <cell r="P20">
            <v>186.12499750000001</v>
          </cell>
          <cell r="Q20">
            <v>265.87500249999999</v>
          </cell>
          <cell r="R20">
            <v>263.324995</v>
          </cell>
          <cell r="S20">
            <v>246.27499999999998</v>
          </cell>
          <cell r="T20">
            <v>166.37500249999999</v>
          </cell>
          <cell r="U20">
            <v>89.850000249999994</v>
          </cell>
          <cell r="V20">
            <v>91.85</v>
          </cell>
          <cell r="W20">
            <v>103.37500075</v>
          </cell>
        </row>
        <row r="21">
          <cell r="B21">
            <v>76.074998999999991</v>
          </cell>
          <cell r="C21">
            <v>79.350000499999993</v>
          </cell>
          <cell r="D21">
            <v>82.325000750000001</v>
          </cell>
          <cell r="E21">
            <v>90.124997999999991</v>
          </cell>
          <cell r="F21">
            <v>91.525001500000002</v>
          </cell>
          <cell r="G21">
            <v>93.975000250000008</v>
          </cell>
          <cell r="H21">
            <v>94.75</v>
          </cell>
          <cell r="I21">
            <v>103.57499999999999</v>
          </cell>
          <cell r="J21">
            <v>119.64999999999999</v>
          </cell>
          <cell r="K21">
            <v>131.97499999999999</v>
          </cell>
          <cell r="L21">
            <v>137.95000249999998</v>
          </cell>
          <cell r="M21">
            <v>150.1500025</v>
          </cell>
          <cell r="N21">
            <v>159.375</v>
          </cell>
          <cell r="O21">
            <v>168.4749975</v>
          </cell>
          <cell r="P21">
            <v>183.3499975</v>
          </cell>
          <cell r="Q21">
            <v>195.82500000000002</v>
          </cell>
          <cell r="R21">
            <v>212.07500250000001</v>
          </cell>
          <cell r="S21">
            <v>214.875</v>
          </cell>
          <cell r="T21">
            <v>205.29999750000002</v>
          </cell>
          <cell r="U21">
            <v>192.12500249999999</v>
          </cell>
          <cell r="V21">
            <v>201.35000500000001</v>
          </cell>
          <cell r="W21">
            <v>195.60000499999998</v>
          </cell>
        </row>
        <row r="22">
          <cell r="B22">
            <v>92.624997749999991</v>
          </cell>
          <cell r="C22">
            <v>101.60000099999999</v>
          </cell>
          <cell r="D22">
            <v>102.67499925</v>
          </cell>
          <cell r="E22">
            <v>105.8</v>
          </cell>
          <cell r="F22">
            <v>106.45000000000002</v>
          </cell>
          <cell r="G22">
            <v>106.925</v>
          </cell>
          <cell r="H22">
            <v>116.65</v>
          </cell>
          <cell r="I22">
            <v>123.7</v>
          </cell>
          <cell r="J22">
            <v>133.77500000000001</v>
          </cell>
          <cell r="K22">
            <v>137.76666666666668</v>
          </cell>
          <cell r="L22">
            <v>140.54999750000002</v>
          </cell>
          <cell r="M22">
            <v>144.74999500000001</v>
          </cell>
          <cell r="N22">
            <v>149</v>
          </cell>
          <cell r="O22">
            <v>159.22500500000001</v>
          </cell>
          <cell r="P22">
            <v>167.95</v>
          </cell>
          <cell r="Q22">
            <v>180.29999750000002</v>
          </cell>
          <cell r="R22">
            <v>190.59999750000003</v>
          </cell>
          <cell r="S22">
            <v>204.425005</v>
          </cell>
          <cell r="T22">
            <v>197.79999750000002</v>
          </cell>
          <cell r="U22">
            <v>189.07500249999998</v>
          </cell>
          <cell r="V22">
            <v>189.800005</v>
          </cell>
          <cell r="W22">
            <v>203.10001</v>
          </cell>
        </row>
        <row r="23">
          <cell r="B23">
            <v>67.875001749999996</v>
          </cell>
          <cell r="C23">
            <v>70.925001250000008</v>
          </cell>
          <cell r="D23">
            <v>72.949998749999992</v>
          </cell>
          <cell r="E23">
            <v>73.350000249999994</v>
          </cell>
          <cell r="F23">
            <v>77.549999249999999</v>
          </cell>
          <cell r="G23">
            <v>82.225000249999994</v>
          </cell>
          <cell r="H23">
            <v>89.475000249999994</v>
          </cell>
          <cell r="I23">
            <v>92.050001249999994</v>
          </cell>
          <cell r="J23">
            <v>97.524999500000007</v>
          </cell>
          <cell r="K23">
            <v>98.949999999999989</v>
          </cell>
          <cell r="L23">
            <v>101.10000049999999</v>
          </cell>
          <cell r="M23">
            <v>107.0000005</v>
          </cell>
          <cell r="N23">
            <v>112.27500000000001</v>
          </cell>
          <cell r="O23">
            <v>116.07499999999999</v>
          </cell>
          <cell r="P23">
            <v>124.625</v>
          </cell>
          <cell r="Q23">
            <v>130.80000250000001</v>
          </cell>
          <cell r="R23">
            <v>135.800005</v>
          </cell>
          <cell r="S23">
            <v>129.92500250000001</v>
          </cell>
          <cell r="T23">
            <v>128.52499749999998</v>
          </cell>
          <cell r="U23">
            <v>122.10000000000001</v>
          </cell>
          <cell r="V23">
            <v>120.80000000000001</v>
          </cell>
          <cell r="W23">
            <v>120.8</v>
          </cell>
        </row>
        <row r="24">
          <cell r="B24">
            <v>109.8</v>
          </cell>
          <cell r="C24">
            <v>122.02500000000001</v>
          </cell>
          <cell r="D24">
            <v>127.92500250000001</v>
          </cell>
          <cell r="E24">
            <v>132.52499749999998</v>
          </cell>
          <cell r="F24">
            <v>134.35000500000001</v>
          </cell>
          <cell r="G24">
            <v>137.9</v>
          </cell>
          <cell r="H24">
            <v>142.82500249999998</v>
          </cell>
          <cell r="I24">
            <v>148.22501</v>
          </cell>
          <cell r="J24">
            <v>155</v>
          </cell>
          <cell r="K24">
            <v>160.1500025</v>
          </cell>
          <cell r="L24">
            <v>165.82499749999999</v>
          </cell>
          <cell r="M24">
            <v>184.2249975</v>
          </cell>
          <cell r="N24">
            <v>204</v>
          </cell>
          <cell r="O24">
            <v>217.00000500000002</v>
          </cell>
          <cell r="P24">
            <v>237.79999999999998</v>
          </cell>
          <cell r="Q24">
            <v>260.77499999999998</v>
          </cell>
          <cell r="R24">
            <v>272.40000250000003</v>
          </cell>
          <cell r="S24">
            <v>274.47499749999997</v>
          </cell>
          <cell r="T24">
            <v>243.95000499999998</v>
          </cell>
          <cell r="U24">
            <v>197.87500499999999</v>
          </cell>
          <cell r="V24">
            <v>191.375</v>
          </cell>
          <cell r="W24">
            <v>172.55</v>
          </cell>
        </row>
        <row r="25">
          <cell r="B25">
            <v>79.875000249999999</v>
          </cell>
          <cell r="C25">
            <v>84.824998749999992</v>
          </cell>
          <cell r="D25">
            <v>88.474998249999999</v>
          </cell>
          <cell r="E25">
            <v>91.174999</v>
          </cell>
          <cell r="F25">
            <v>96.324998749999992</v>
          </cell>
          <cell r="G25">
            <v>99.94999949999999</v>
          </cell>
          <cell r="H25">
            <v>104.6</v>
          </cell>
          <cell r="I25">
            <v>110.05</v>
          </cell>
          <cell r="J25">
            <v>115.575</v>
          </cell>
          <cell r="K25">
            <v>120.6</v>
          </cell>
          <cell r="L25">
            <v>127.7249975</v>
          </cell>
          <cell r="M25">
            <v>130.37499750000001</v>
          </cell>
          <cell r="N25">
            <v>133.67500250000001</v>
          </cell>
          <cell r="O25">
            <v>138.6500025</v>
          </cell>
          <cell r="P25">
            <v>142.375</v>
          </cell>
          <cell r="Q25">
            <v>145.12500249999999</v>
          </cell>
          <cell r="R25">
            <v>142.6</v>
          </cell>
          <cell r="S25">
            <v>140.17499750000002</v>
          </cell>
          <cell r="T25">
            <v>130</v>
          </cell>
          <cell r="U25">
            <v>123.2000025</v>
          </cell>
          <cell r="V25">
            <v>127.35000000000001</v>
          </cell>
          <cell r="W25">
            <v>121.64999999999999</v>
          </cell>
        </row>
        <row r="26">
          <cell r="B26">
            <v>80.225000499999993</v>
          </cell>
          <cell r="C26">
            <v>85.75</v>
          </cell>
          <cell r="D26">
            <v>90.525001500000002</v>
          </cell>
          <cell r="E26">
            <v>94.350000250000008</v>
          </cell>
          <cell r="F26">
            <v>98.07499949999999</v>
          </cell>
          <cell r="G26">
            <v>103.64999925000001</v>
          </cell>
          <cell r="H26">
            <v>111.625</v>
          </cell>
          <cell r="I26">
            <v>116.32499999999999</v>
          </cell>
          <cell r="J26">
            <v>121.3</v>
          </cell>
          <cell r="K26">
            <v>122.9500025</v>
          </cell>
          <cell r="L26">
            <v>121.19999999999999</v>
          </cell>
          <cell r="M26">
            <v>135.80000000000001</v>
          </cell>
          <cell r="O26">
            <v>133.30000000000001</v>
          </cell>
          <cell r="P26">
            <v>136.07499999999999</v>
          </cell>
          <cell r="Q26">
            <v>139.35</v>
          </cell>
          <cell r="R26">
            <v>133.3499975</v>
          </cell>
          <cell r="S26">
            <v>128.92499999999998</v>
          </cell>
          <cell r="T26">
            <v>106.07500075</v>
          </cell>
          <cell r="U26">
            <v>100.27499925000001</v>
          </cell>
          <cell r="V26">
            <v>113.95</v>
          </cell>
          <cell r="W26">
            <v>103.05000000000001</v>
          </cell>
        </row>
        <row r="27">
          <cell r="D27">
            <v>86.624999750000001</v>
          </cell>
          <cell r="E27">
            <v>93.324998750000006</v>
          </cell>
          <cell r="F27">
            <v>103.97500049999999</v>
          </cell>
          <cell r="G27">
            <v>113.55000000000001</v>
          </cell>
          <cell r="H27">
            <v>124.4500025</v>
          </cell>
          <cell r="I27">
            <v>130.2750025</v>
          </cell>
          <cell r="J27">
            <v>138.32500249999998</v>
          </cell>
          <cell r="K27">
            <v>144.074995</v>
          </cell>
          <cell r="L27">
            <v>153.80000000000001</v>
          </cell>
          <cell r="M27">
            <v>170.8</v>
          </cell>
          <cell r="N27">
            <v>175.60000250000002</v>
          </cell>
          <cell r="O27">
            <v>181.29999999999998</v>
          </cell>
          <cell r="P27">
            <v>187.76666666666665</v>
          </cell>
          <cell r="Q27">
            <v>205.27499749999998</v>
          </cell>
          <cell r="R27">
            <v>217.77499500000002</v>
          </cell>
          <cell r="S27">
            <v>216.67499750000002</v>
          </cell>
          <cell r="T27">
            <v>204.62499500000001</v>
          </cell>
          <cell r="U27">
            <v>188.47500250000002</v>
          </cell>
          <cell r="V27">
            <v>195.65</v>
          </cell>
          <cell r="W27">
            <v>187.14999749999998</v>
          </cell>
        </row>
        <row r="28">
          <cell r="B28">
            <v>77.199998999999991</v>
          </cell>
          <cell r="C28">
            <v>80.674999</v>
          </cell>
          <cell r="D28">
            <v>84.724998499999998</v>
          </cell>
          <cell r="E28">
            <v>84.900001500000002</v>
          </cell>
          <cell r="F28">
            <v>86.375000249999999</v>
          </cell>
          <cell r="G28">
            <v>90.800001249999994</v>
          </cell>
          <cell r="H28">
            <v>92.924999249999985</v>
          </cell>
          <cell r="I28">
            <v>98.800002000000006</v>
          </cell>
          <cell r="J28">
            <v>104.47500000000001</v>
          </cell>
          <cell r="K28">
            <v>108.32499999999999</v>
          </cell>
          <cell r="L28">
            <v>112.5</v>
          </cell>
          <cell r="M28">
            <v>115.57499999999999</v>
          </cell>
          <cell r="N28">
            <v>119.5</v>
          </cell>
          <cell r="O28">
            <v>122.5750025</v>
          </cell>
          <cell r="P28">
            <v>124.5750025</v>
          </cell>
          <cell r="Q28">
            <v>134.5</v>
          </cell>
          <cell r="R28">
            <v>140.36667</v>
          </cell>
          <cell r="S28">
            <v>146.29999750000002</v>
          </cell>
          <cell r="T28">
            <v>144.45000249999998</v>
          </cell>
          <cell r="U28">
            <v>138.73333</v>
          </cell>
          <cell r="V28">
            <v>143.050005</v>
          </cell>
          <cell r="W28">
            <v>140.94999999999999</v>
          </cell>
        </row>
        <row r="29">
          <cell r="B29">
            <v>81.399999750000006</v>
          </cell>
          <cell r="C29">
            <v>84.824998749999992</v>
          </cell>
          <cell r="D29">
            <v>90.924999249999999</v>
          </cell>
          <cell r="E29">
            <v>91.399999750000006</v>
          </cell>
          <cell r="F29">
            <v>94.550001250000008</v>
          </cell>
          <cell r="G29">
            <v>98.625000249999999</v>
          </cell>
          <cell r="H29">
            <v>107.94999999999999</v>
          </cell>
          <cell r="I29">
            <v>117.425</v>
          </cell>
          <cell r="J29">
            <v>121.5</v>
          </cell>
          <cell r="K29">
            <v>124.625</v>
          </cell>
          <cell r="L29">
            <v>128.62500249999999</v>
          </cell>
          <cell r="M29">
            <v>135.14999499999999</v>
          </cell>
          <cell r="N29">
            <v>140.76666333333333</v>
          </cell>
          <cell r="O29">
            <v>144.80000000000001</v>
          </cell>
          <cell r="P29">
            <v>145.67499750000002</v>
          </cell>
          <cell r="Q29">
            <v>150.125</v>
          </cell>
          <cell r="R29">
            <v>146.87499750000001</v>
          </cell>
          <cell r="S29">
            <v>146.07500249999998</v>
          </cell>
          <cell r="T29">
            <v>137.05000000000001</v>
          </cell>
          <cell r="U29">
            <v>132.50000499999999</v>
          </cell>
          <cell r="V29">
            <v>133.82500250000001</v>
          </cell>
          <cell r="W29">
            <v>123.7749975</v>
          </cell>
        </row>
        <row r="30">
          <cell r="B30">
            <v>89.45000275000001</v>
          </cell>
          <cell r="C30">
            <v>88.100000249999994</v>
          </cell>
          <cell r="D30">
            <v>91.225000250000008</v>
          </cell>
          <cell r="E30">
            <v>94.149999750000006</v>
          </cell>
          <cell r="F30">
            <v>94.775001500000002</v>
          </cell>
          <cell r="G30">
            <v>95.724999499999996</v>
          </cell>
          <cell r="H30">
            <v>103.30000000000001</v>
          </cell>
          <cell r="I30">
            <v>111.44999999999999</v>
          </cell>
          <cell r="J30">
            <v>111</v>
          </cell>
          <cell r="K30">
            <v>115.67500000000001</v>
          </cell>
          <cell r="L30">
            <v>122.575</v>
          </cell>
          <cell r="M30">
            <v>129.92500250000001</v>
          </cell>
          <cell r="N30">
            <v>134.67500250000001</v>
          </cell>
          <cell r="O30">
            <v>138.14999749999998</v>
          </cell>
          <cell r="P30">
            <v>137.85000000000002</v>
          </cell>
          <cell r="Q30">
            <v>146.62500249999999</v>
          </cell>
          <cell r="R30">
            <v>148.97499500000001</v>
          </cell>
          <cell r="S30">
            <v>150.17500000000001</v>
          </cell>
          <cell r="T30">
            <v>145.39999749999998</v>
          </cell>
          <cell r="U30">
            <v>140.45000249999998</v>
          </cell>
          <cell r="V30">
            <v>143.77500499999999</v>
          </cell>
          <cell r="W30">
            <v>148.1500025</v>
          </cell>
        </row>
        <row r="31">
          <cell r="B31">
            <v>71.200000750000001</v>
          </cell>
          <cell r="C31">
            <v>76.050001250000008</v>
          </cell>
          <cell r="D31">
            <v>80.925001250000008</v>
          </cell>
          <cell r="E31">
            <v>81.774999500000007</v>
          </cell>
          <cell r="F31">
            <v>83.899999750000006</v>
          </cell>
          <cell r="G31">
            <v>88.049999</v>
          </cell>
          <cell r="H31">
            <v>94.724998499999998</v>
          </cell>
          <cell r="I31">
            <v>96.224998249999999</v>
          </cell>
          <cell r="J31">
            <v>102.30000075</v>
          </cell>
          <cell r="K31">
            <v>103.82500000000002</v>
          </cell>
          <cell r="L31">
            <v>103.86666733333334</v>
          </cell>
          <cell r="M31">
            <v>107.8</v>
          </cell>
          <cell r="N31">
            <v>112.375</v>
          </cell>
          <cell r="O31">
            <v>114.16666666666667</v>
          </cell>
          <cell r="P31">
            <v>114.8</v>
          </cell>
          <cell r="Q31">
            <v>116.45</v>
          </cell>
          <cell r="R31">
            <v>117.80000000000001</v>
          </cell>
          <cell r="S31">
            <v>114.30000000000001</v>
          </cell>
          <cell r="T31">
            <v>104.82500075</v>
          </cell>
          <cell r="U31">
            <v>101.04999924999998</v>
          </cell>
          <cell r="V31">
            <v>102.30000100000001</v>
          </cell>
          <cell r="W31">
            <v>92.150001250000003</v>
          </cell>
        </row>
        <row r="32">
          <cell r="B32">
            <v>86.150001500000002</v>
          </cell>
          <cell r="C32">
            <v>88.649999500000007</v>
          </cell>
          <cell r="D32">
            <v>96.100000250000008</v>
          </cell>
          <cell r="E32">
            <v>103.9000005</v>
          </cell>
          <cell r="F32">
            <v>116.65</v>
          </cell>
          <cell r="G32">
            <v>126.4</v>
          </cell>
          <cell r="H32">
            <v>133.2249975</v>
          </cell>
          <cell r="I32">
            <v>140.800005</v>
          </cell>
          <cell r="J32">
            <v>151.8499975</v>
          </cell>
          <cell r="K32">
            <v>170.125</v>
          </cell>
          <cell r="L32">
            <v>196.02499999999998</v>
          </cell>
          <cell r="M32">
            <v>217.125</v>
          </cell>
          <cell r="N32">
            <v>228.25</v>
          </cell>
          <cell r="O32">
            <v>237.47500249999999</v>
          </cell>
          <cell r="P32">
            <v>236.90000333333333</v>
          </cell>
          <cell r="Q32">
            <v>246.3499975</v>
          </cell>
          <cell r="R32">
            <v>249.55000249999998</v>
          </cell>
          <cell r="S32">
            <v>244.70000250000001</v>
          </cell>
          <cell r="T32">
            <v>218.65000249999997</v>
          </cell>
          <cell r="U32">
            <v>217.22500000000002</v>
          </cell>
          <cell r="V32">
            <v>231.95</v>
          </cell>
          <cell r="W32">
            <v>230.70000249999998</v>
          </cell>
        </row>
        <row r="33">
          <cell r="B33">
            <v>60.749998750000003</v>
          </cell>
          <cell r="C33">
            <v>67.850000249999994</v>
          </cell>
          <cell r="D33">
            <v>72.949998749999992</v>
          </cell>
          <cell r="E33">
            <v>78.199998749999992</v>
          </cell>
          <cell r="F33">
            <v>81.475000499999993</v>
          </cell>
          <cell r="G33">
            <v>86.649999500000007</v>
          </cell>
          <cell r="H33">
            <v>92.324998749999992</v>
          </cell>
          <cell r="I33">
            <v>98.749999500000001</v>
          </cell>
          <cell r="J33">
            <v>106.35</v>
          </cell>
          <cell r="K33">
            <v>109.72499999999999</v>
          </cell>
          <cell r="L33">
            <v>115.9</v>
          </cell>
          <cell r="M33">
            <v>125.125</v>
          </cell>
          <cell r="N33">
            <v>130.02499749999998</v>
          </cell>
          <cell r="O33">
            <v>132.949995</v>
          </cell>
          <cell r="P33">
            <v>140.30000250000001</v>
          </cell>
          <cell r="Q33">
            <v>144.7750025</v>
          </cell>
          <cell r="R33">
            <v>144.44999999999999</v>
          </cell>
          <cell r="S33">
            <v>149.89999749999998</v>
          </cell>
          <cell r="T33">
            <v>152.39999749999998</v>
          </cell>
          <cell r="U33">
            <v>146.85000250000002</v>
          </cell>
          <cell r="V33">
            <v>148.70000249999998</v>
          </cell>
          <cell r="W33">
            <v>148.9749975</v>
          </cell>
        </row>
        <row r="34">
          <cell r="B34">
            <v>76.099998499999998</v>
          </cell>
          <cell r="C34">
            <v>80.549999249999999</v>
          </cell>
          <cell r="D34">
            <v>81.450001</v>
          </cell>
          <cell r="E34">
            <v>86.774999750000006</v>
          </cell>
          <cell r="F34">
            <v>86.899997749999997</v>
          </cell>
          <cell r="G34">
            <v>97.54999875</v>
          </cell>
          <cell r="H34">
            <v>110.9</v>
          </cell>
          <cell r="I34">
            <v>119.30000000000001</v>
          </cell>
          <cell r="J34">
            <v>132.27499749999998</v>
          </cell>
          <cell r="K34">
            <v>139.64999499999999</v>
          </cell>
          <cell r="L34">
            <v>150.5</v>
          </cell>
          <cell r="M34">
            <v>159.949995</v>
          </cell>
          <cell r="N34">
            <v>162.825005</v>
          </cell>
          <cell r="O34">
            <v>164.42500000000001</v>
          </cell>
          <cell r="P34">
            <v>160.97500250000002</v>
          </cell>
          <cell r="Q34">
            <v>162.12500249999999</v>
          </cell>
          <cell r="R34">
            <v>151.70000249999998</v>
          </cell>
          <cell r="S34">
            <v>140.26666666666668</v>
          </cell>
          <cell r="W34">
            <v>54.633332333333328</v>
          </cell>
        </row>
        <row r="35">
          <cell r="B35">
            <v>63.3999995</v>
          </cell>
          <cell r="C35">
            <v>65.850000499999993</v>
          </cell>
          <cell r="D35">
            <v>67.425001250000008</v>
          </cell>
          <cell r="E35">
            <v>71.674999</v>
          </cell>
          <cell r="F35">
            <v>75.25</v>
          </cell>
          <cell r="G35">
            <v>72.175001250000008</v>
          </cell>
          <cell r="H35">
            <v>76.074998749999992</v>
          </cell>
          <cell r="I35">
            <v>75.824998749999992</v>
          </cell>
          <cell r="J35">
            <v>78.050001250000008</v>
          </cell>
          <cell r="K35">
            <v>78</v>
          </cell>
          <cell r="L35">
            <v>80.299999249999999</v>
          </cell>
          <cell r="M35">
            <v>86.249997999999991</v>
          </cell>
          <cell r="N35">
            <v>88.975000249999994</v>
          </cell>
          <cell r="O35">
            <v>92.699998750000006</v>
          </cell>
          <cell r="P35">
            <v>94.574998499999992</v>
          </cell>
          <cell r="Q35">
            <v>111.42499999999998</v>
          </cell>
          <cell r="R35">
            <v>127.0999975</v>
          </cell>
          <cell r="S35">
            <v>131.42500250000001</v>
          </cell>
          <cell r="T35">
            <v>137.174995</v>
          </cell>
          <cell r="U35">
            <v>132.60000000000002</v>
          </cell>
          <cell r="V35">
            <v>134.10000250000002</v>
          </cell>
          <cell r="W35">
            <v>134.07500249999998</v>
          </cell>
        </row>
        <row r="36">
          <cell r="B36">
            <v>68.199998749999992</v>
          </cell>
          <cell r="C36">
            <v>70.724998249999999</v>
          </cell>
          <cell r="D36">
            <v>73.049999249999999</v>
          </cell>
          <cell r="E36">
            <v>76.425001250000008</v>
          </cell>
          <cell r="F36">
            <v>77.025001500000002</v>
          </cell>
          <cell r="G36">
            <v>80.799999249999999</v>
          </cell>
          <cell r="H36">
            <v>87.200000750000001</v>
          </cell>
          <cell r="I36">
            <v>93.5</v>
          </cell>
          <cell r="J36">
            <v>100.44999874999999</v>
          </cell>
          <cell r="K36">
            <v>106.45</v>
          </cell>
          <cell r="L36">
            <v>114.125</v>
          </cell>
          <cell r="M36">
            <v>121.02500000000001</v>
          </cell>
          <cell r="N36">
            <v>125.25</v>
          </cell>
          <cell r="O36">
            <v>129.60000250000002</v>
          </cell>
          <cell r="P36">
            <v>132.69999999999999</v>
          </cell>
          <cell r="Q36">
            <v>137.80000000000001</v>
          </cell>
          <cell r="R36">
            <v>134.07499999999999</v>
          </cell>
          <cell r="S36">
            <v>128.72500249999999</v>
          </cell>
          <cell r="T36">
            <v>100.97499999999999</v>
          </cell>
          <cell r="U36">
            <v>86.375</v>
          </cell>
          <cell r="V36">
            <v>91.549999250000013</v>
          </cell>
          <cell r="W36">
            <v>98.599999499999996</v>
          </cell>
        </row>
        <row r="37">
          <cell r="B37">
            <v>86.850000249999994</v>
          </cell>
          <cell r="C37">
            <v>85.675001000000009</v>
          </cell>
          <cell r="D37">
            <v>88.375</v>
          </cell>
          <cell r="E37">
            <v>94.274999250000008</v>
          </cell>
          <cell r="F37">
            <v>96.700000999999986</v>
          </cell>
          <cell r="G37">
            <v>102.25000075</v>
          </cell>
          <cell r="H37">
            <v>112.79999999999998</v>
          </cell>
          <cell r="I37">
            <v>117.1</v>
          </cell>
          <cell r="J37">
            <v>123.39999999999999</v>
          </cell>
          <cell r="K37">
            <v>124.89999999999999</v>
          </cell>
          <cell r="L37">
            <v>128.125</v>
          </cell>
          <cell r="M37">
            <v>132.42500250000001</v>
          </cell>
          <cell r="N37">
            <v>135.449995</v>
          </cell>
          <cell r="O37">
            <v>136.77500750000002</v>
          </cell>
          <cell r="P37">
            <v>139.62500249999999</v>
          </cell>
          <cell r="Q37">
            <v>146.4</v>
          </cell>
          <cell r="R37">
            <v>148.92500000000001</v>
          </cell>
          <cell r="S37">
            <v>151.9000025</v>
          </cell>
          <cell r="T37">
            <v>144.125</v>
          </cell>
          <cell r="U37">
            <v>132.77500000000001</v>
          </cell>
          <cell r="V37">
            <v>128.87500249999999</v>
          </cell>
          <cell r="W37">
            <v>122.7</v>
          </cell>
        </row>
        <row r="38">
          <cell r="B38">
            <v>74.924999249999999</v>
          </cell>
          <cell r="C38">
            <v>79.125000249999999</v>
          </cell>
          <cell r="D38">
            <v>85.025001500000002</v>
          </cell>
          <cell r="E38">
            <v>87.575000750000015</v>
          </cell>
          <cell r="F38">
            <v>92.450000750000001</v>
          </cell>
          <cell r="G38">
            <v>96.675001999999992</v>
          </cell>
          <cell r="H38">
            <v>114.72499999999999</v>
          </cell>
          <cell r="I38">
            <v>120.69999999999999</v>
          </cell>
          <cell r="J38">
            <v>120.60000000000001</v>
          </cell>
          <cell r="K38">
            <v>121.43333333333334</v>
          </cell>
          <cell r="L38">
            <v>125.67500249999999</v>
          </cell>
          <cell r="M38">
            <v>129.77499999999998</v>
          </cell>
          <cell r="N38">
            <v>132.52499749999998</v>
          </cell>
          <cell r="O38">
            <v>136.375</v>
          </cell>
          <cell r="P38">
            <v>135.37499750000001</v>
          </cell>
          <cell r="Q38">
            <v>144.1</v>
          </cell>
          <cell r="R38">
            <v>151.4749975</v>
          </cell>
          <cell r="S38">
            <v>153.30000000000001</v>
          </cell>
          <cell r="T38">
            <v>154.5999975</v>
          </cell>
          <cell r="U38">
            <v>141.42499750000002</v>
          </cell>
          <cell r="V38">
            <v>144.62500499999999</v>
          </cell>
          <cell r="W38">
            <v>143.87500249999999</v>
          </cell>
        </row>
        <row r="39">
          <cell r="B39">
            <v>160.92499750000002</v>
          </cell>
          <cell r="C39">
            <v>151.07500249999998</v>
          </cell>
          <cell r="D39">
            <v>144.92499750000002</v>
          </cell>
          <cell r="E39">
            <v>138.7249975</v>
          </cell>
          <cell r="F39">
            <v>136.47500000000002</v>
          </cell>
          <cell r="G39">
            <v>136.425005</v>
          </cell>
          <cell r="H39">
            <v>142.59999249999998</v>
          </cell>
          <cell r="I39">
            <v>141.02499749999998</v>
          </cell>
          <cell r="J39">
            <v>145.29999750000002</v>
          </cell>
          <cell r="K39">
            <v>153.24999750000001</v>
          </cell>
          <cell r="L39">
            <v>163.32500249999998</v>
          </cell>
          <cell r="M39">
            <v>167.05</v>
          </cell>
          <cell r="N39">
            <v>180.49999500000001</v>
          </cell>
          <cell r="O39">
            <v>206.29999750000002</v>
          </cell>
          <cell r="P39">
            <v>229.875</v>
          </cell>
          <cell r="Q39">
            <v>252.5</v>
          </cell>
          <cell r="R39">
            <v>257.27499999999998</v>
          </cell>
          <cell r="S39">
            <v>262.625</v>
          </cell>
          <cell r="T39">
            <v>246.04999750000002</v>
          </cell>
          <cell r="U39">
            <v>230.12500500000002</v>
          </cell>
          <cell r="V39">
            <v>235.6500025</v>
          </cell>
          <cell r="W39">
            <v>226.17499750000002</v>
          </cell>
        </row>
        <row r="40">
          <cell r="B40">
            <v>353.125</v>
          </cell>
          <cell r="C40">
            <v>341.19999749999999</v>
          </cell>
          <cell r="D40">
            <v>345.875</v>
          </cell>
          <cell r="E40">
            <v>357.625</v>
          </cell>
          <cell r="F40">
            <v>361.25</v>
          </cell>
          <cell r="G40">
            <v>347.75</v>
          </cell>
          <cell r="H40">
            <v>333.82499749999999</v>
          </cell>
          <cell r="I40">
            <v>307.19999749999999</v>
          </cell>
          <cell r="J40">
            <v>296.25</v>
          </cell>
          <cell r="K40">
            <v>292.125</v>
          </cell>
          <cell r="L40">
            <v>295.67499499999997</v>
          </cell>
          <cell r="M40">
            <v>301.75</v>
          </cell>
          <cell r="N40">
            <v>333.75</v>
          </cell>
          <cell r="O40">
            <v>379.125</v>
          </cell>
          <cell r="P40">
            <v>457.52500250000003</v>
          </cell>
          <cell r="Q40">
            <v>585.47499249999998</v>
          </cell>
          <cell r="R40">
            <v>630</v>
          </cell>
          <cell r="S40">
            <v>640.05000250000001</v>
          </cell>
          <cell r="T40">
            <v>620.25</v>
          </cell>
          <cell r="U40">
            <v>595.57499749999999</v>
          </cell>
          <cell r="V40">
            <v>617.27499499999999</v>
          </cell>
          <cell r="W40">
            <v>596.44999749999999</v>
          </cell>
        </row>
        <row r="41">
          <cell r="B41">
            <v>70.749998250000004</v>
          </cell>
          <cell r="C41">
            <v>73.625000249999999</v>
          </cell>
          <cell r="D41">
            <v>80.174999499999998</v>
          </cell>
          <cell r="E41">
            <v>80.650001500000002</v>
          </cell>
          <cell r="F41">
            <v>80.349998249999999</v>
          </cell>
          <cell r="G41">
            <v>78.999998000000005</v>
          </cell>
          <cell r="H41">
            <v>84.474998499999998</v>
          </cell>
          <cell r="I41">
            <v>90.674998999999985</v>
          </cell>
          <cell r="J41">
            <v>97.050000000000011</v>
          </cell>
          <cell r="K41">
            <v>104.8750005</v>
          </cell>
          <cell r="L41">
            <v>114.9</v>
          </cell>
          <cell r="M41">
            <v>122.72499999999999</v>
          </cell>
          <cell r="N41">
            <v>131.57499999999999</v>
          </cell>
          <cell r="O41">
            <v>134.52499749999998</v>
          </cell>
          <cell r="P41">
            <v>135.72499999999999</v>
          </cell>
          <cell r="Q41">
            <v>143.00000499999999</v>
          </cell>
          <cell r="R41">
            <v>149.10000250000002</v>
          </cell>
          <cell r="S41">
            <v>152.04999750000002</v>
          </cell>
          <cell r="T41">
            <v>151.02499749999998</v>
          </cell>
          <cell r="U41">
            <v>151.625</v>
          </cell>
          <cell r="V41">
            <v>154.75</v>
          </cell>
          <cell r="W41">
            <v>155.0999975</v>
          </cell>
        </row>
        <row r="42">
          <cell r="B42">
            <v>74.600000249999994</v>
          </cell>
          <cell r="C42">
            <v>78.925001000000009</v>
          </cell>
          <cell r="D42">
            <v>83.299999</v>
          </cell>
          <cell r="E42">
            <v>86.300001250000008</v>
          </cell>
          <cell r="F42">
            <v>90.524999749999992</v>
          </cell>
          <cell r="G42">
            <v>94.374998000000005</v>
          </cell>
          <cell r="H42">
            <v>97.924999</v>
          </cell>
          <cell r="I42">
            <v>103.89999999999999</v>
          </cell>
          <cell r="J42">
            <v>108.30000000000001</v>
          </cell>
          <cell r="K42">
            <v>110.575</v>
          </cell>
          <cell r="L42">
            <v>111.675</v>
          </cell>
          <cell r="M42">
            <v>116.175</v>
          </cell>
          <cell r="N42">
            <v>116.45</v>
          </cell>
          <cell r="O42">
            <v>119.9</v>
          </cell>
          <cell r="P42">
            <v>120.17500000000001</v>
          </cell>
          <cell r="Q42">
            <v>122.94999749999999</v>
          </cell>
          <cell r="R42">
            <v>118.85</v>
          </cell>
          <cell r="S42">
            <v>118.825</v>
          </cell>
          <cell r="T42">
            <v>110.95</v>
          </cell>
          <cell r="U42">
            <v>112.37500075</v>
          </cell>
          <cell r="V42">
            <v>123.12499750000001</v>
          </cell>
          <cell r="W42">
            <v>122.4249975</v>
          </cell>
        </row>
        <row r="43">
          <cell r="C43">
            <v>68.399999750000006</v>
          </cell>
          <cell r="D43">
            <v>69.125</v>
          </cell>
          <cell r="E43">
            <v>72.574998999999991</v>
          </cell>
          <cell r="F43">
            <v>75.574998999999991</v>
          </cell>
          <cell r="G43">
            <v>77.400001750000001</v>
          </cell>
          <cell r="H43">
            <v>85</v>
          </cell>
          <cell r="I43">
            <v>87.975000499999993</v>
          </cell>
          <cell r="J43">
            <v>93.225002499999988</v>
          </cell>
          <cell r="K43">
            <v>94.899999749999992</v>
          </cell>
          <cell r="L43">
            <v>99.325000000000003</v>
          </cell>
          <cell r="N43">
            <v>111.2</v>
          </cell>
          <cell r="O43">
            <v>110.075</v>
          </cell>
          <cell r="P43">
            <v>117.52500000000001</v>
          </cell>
          <cell r="Q43">
            <v>133.55000000000001</v>
          </cell>
          <cell r="R43">
            <v>146.79999750000002</v>
          </cell>
          <cell r="S43">
            <v>138.35</v>
          </cell>
          <cell r="T43">
            <v>128.67500000000001</v>
          </cell>
          <cell r="U43">
            <v>133.94999999999999</v>
          </cell>
          <cell r="V43">
            <v>132.17499750000002</v>
          </cell>
          <cell r="W43">
            <v>135.52499</v>
          </cell>
        </row>
        <row r="44">
          <cell r="B44">
            <v>72.300001250000008</v>
          </cell>
          <cell r="C44">
            <v>73.325000750000001</v>
          </cell>
          <cell r="D44">
            <v>76.599998249999999</v>
          </cell>
          <cell r="E44">
            <v>76.724998499999998</v>
          </cell>
          <cell r="F44">
            <v>81.774999500000007</v>
          </cell>
          <cell r="G44">
            <v>82.799999249999999</v>
          </cell>
          <cell r="H44">
            <v>88.174999499999984</v>
          </cell>
          <cell r="I44">
            <v>86.849998499999998</v>
          </cell>
          <cell r="J44">
            <v>94.625</v>
          </cell>
          <cell r="K44">
            <v>95</v>
          </cell>
          <cell r="L44">
            <v>100.2500005</v>
          </cell>
          <cell r="M44">
            <v>109.5</v>
          </cell>
          <cell r="N44">
            <v>117.27500000000001</v>
          </cell>
          <cell r="O44">
            <v>132.60000250000002</v>
          </cell>
          <cell r="P44">
            <v>152.35000500000001</v>
          </cell>
          <cell r="Q44">
            <v>175.05</v>
          </cell>
          <cell r="R44">
            <v>192.5250025</v>
          </cell>
          <cell r="S44">
            <v>190.77500499999999</v>
          </cell>
          <cell r="T44">
            <v>177.20000249999998</v>
          </cell>
          <cell r="U44">
            <v>148.45000249999998</v>
          </cell>
          <cell r="V44">
            <v>137.72499999999999</v>
          </cell>
          <cell r="W44">
            <v>127.5</v>
          </cell>
        </row>
        <row r="45">
          <cell r="B45">
            <v>73.875</v>
          </cell>
          <cell r="C45">
            <v>76.399999750000006</v>
          </cell>
          <cell r="D45">
            <v>79.274999750000006</v>
          </cell>
          <cell r="E45">
            <v>83.024999500000007</v>
          </cell>
          <cell r="F45">
            <v>87</v>
          </cell>
          <cell r="G45">
            <v>91.525001500000002</v>
          </cell>
          <cell r="H45">
            <v>98.800000249999997</v>
          </cell>
          <cell r="I45">
            <v>106.4</v>
          </cell>
          <cell r="J45">
            <v>113.67500000000001</v>
          </cell>
          <cell r="K45">
            <v>120.425</v>
          </cell>
          <cell r="L45">
            <v>125.95</v>
          </cell>
          <cell r="M45">
            <v>133.93332666666666</v>
          </cell>
          <cell r="N45">
            <v>137.14999999999998</v>
          </cell>
          <cell r="O45">
            <v>143.47499999999999</v>
          </cell>
          <cell r="P45">
            <v>149.00000249999999</v>
          </cell>
          <cell r="Q45">
            <v>155.22500250000002</v>
          </cell>
          <cell r="R45">
            <v>155.00000499999999</v>
          </cell>
          <cell r="S45">
            <v>152.14999999999998</v>
          </cell>
          <cell r="T45">
            <v>142.65</v>
          </cell>
          <cell r="U45">
            <v>139.10000250000002</v>
          </cell>
          <cell r="V45">
            <v>139.64999749999998</v>
          </cell>
          <cell r="W45">
            <v>132.37499750000001</v>
          </cell>
        </row>
        <row r="46">
          <cell r="B46">
            <v>75.274999500000007</v>
          </cell>
          <cell r="C46">
            <v>78.875001999999995</v>
          </cell>
          <cell r="D46">
            <v>80.174999249999999</v>
          </cell>
          <cell r="E46">
            <v>85.050001250000008</v>
          </cell>
          <cell r="F46">
            <v>89.174999000000014</v>
          </cell>
          <cell r="G46">
            <v>93.25</v>
          </cell>
          <cell r="H46">
            <v>98.750000499999999</v>
          </cell>
          <cell r="I46">
            <v>99.900001000000003</v>
          </cell>
          <cell r="J46">
            <v>104.85</v>
          </cell>
          <cell r="K46">
            <v>108.02500000000001</v>
          </cell>
          <cell r="L46">
            <v>110.22499999999999</v>
          </cell>
          <cell r="M46">
            <v>116.85</v>
          </cell>
          <cell r="N46">
            <v>118.575</v>
          </cell>
          <cell r="O46">
            <v>130.19999749999999</v>
          </cell>
          <cell r="P46">
            <v>131.5999975</v>
          </cell>
          <cell r="Q46">
            <v>143.49999750000001</v>
          </cell>
          <cell r="R46">
            <v>150.75</v>
          </cell>
          <cell r="S46">
            <v>155.89999749999998</v>
          </cell>
          <cell r="T46">
            <v>148.32500249999998</v>
          </cell>
          <cell r="U46">
            <v>141.1500025</v>
          </cell>
          <cell r="V46">
            <v>140.67500000000001</v>
          </cell>
          <cell r="W46">
            <v>140.77499749999998</v>
          </cell>
        </row>
        <row r="47">
          <cell r="B47">
            <v>92.924999000000014</v>
          </cell>
          <cell r="C47">
            <v>101.04999925000001</v>
          </cell>
          <cell r="D47">
            <v>104.19999999999999</v>
          </cell>
          <cell r="E47">
            <v>107.97499999999999</v>
          </cell>
          <cell r="F47">
            <v>110.52500000000001</v>
          </cell>
          <cell r="G47">
            <v>113.30000000000001</v>
          </cell>
          <cell r="H47">
            <v>118.5</v>
          </cell>
          <cell r="I47">
            <v>122.89999999999999</v>
          </cell>
          <cell r="J47">
            <v>127.87499750000001</v>
          </cell>
          <cell r="K47">
            <v>130.625</v>
          </cell>
          <cell r="L47">
            <v>137.32499999999999</v>
          </cell>
          <cell r="M47">
            <v>148.52500000000001</v>
          </cell>
          <cell r="N47">
            <v>159.97500500000001</v>
          </cell>
          <cell r="O47">
            <v>180.950005</v>
          </cell>
          <cell r="P47">
            <v>264.84999500000004</v>
          </cell>
          <cell r="Q47">
            <v>305</v>
          </cell>
          <cell r="R47">
            <v>317.25000249999999</v>
          </cell>
          <cell r="S47">
            <v>296.75</v>
          </cell>
          <cell r="T47">
            <v>219.050005</v>
          </cell>
          <cell r="U47">
            <v>143.74999750000001</v>
          </cell>
          <cell r="V47">
            <v>137.9000025</v>
          </cell>
          <cell r="W47">
            <v>124.75</v>
          </cell>
        </row>
        <row r="48">
          <cell r="B48">
            <v>64.75</v>
          </cell>
          <cell r="C48">
            <v>67.250000249999999</v>
          </cell>
          <cell r="E48">
            <v>79.699999333333338</v>
          </cell>
          <cell r="F48">
            <v>74.924999249999999</v>
          </cell>
          <cell r="G48">
            <v>78.900001500000002</v>
          </cell>
          <cell r="H48">
            <v>83.600000499999993</v>
          </cell>
          <cell r="I48">
            <v>85.725000499999993</v>
          </cell>
          <cell r="J48">
            <v>91.400001500000002</v>
          </cell>
          <cell r="K48">
            <v>90.699998999999991</v>
          </cell>
          <cell r="L48">
            <v>87.949998749999992</v>
          </cell>
          <cell r="M48">
            <v>95.274999749999992</v>
          </cell>
          <cell r="N48">
            <v>95.649999750000006</v>
          </cell>
          <cell r="O48">
            <v>104.17500075000001</v>
          </cell>
          <cell r="P48">
            <v>107.9</v>
          </cell>
          <cell r="Q48">
            <v>119.02500000000001</v>
          </cell>
          <cell r="R48">
            <v>126.69999749999999</v>
          </cell>
          <cell r="S48">
            <v>128.550005</v>
          </cell>
          <cell r="T48">
            <v>128.99999750000001</v>
          </cell>
          <cell r="U48">
            <v>131.22499999999999</v>
          </cell>
          <cell r="V48">
            <v>132.37500499999999</v>
          </cell>
          <cell r="W48">
            <v>129.799995</v>
          </cell>
        </row>
        <row r="49">
          <cell r="B49">
            <v>211.84999750000003</v>
          </cell>
          <cell r="C49">
            <v>217.4000025</v>
          </cell>
          <cell r="D49">
            <v>213.1500025</v>
          </cell>
          <cell r="E49">
            <v>195.175005</v>
          </cell>
          <cell r="F49">
            <v>189.14999749999998</v>
          </cell>
          <cell r="G49">
            <v>177</v>
          </cell>
          <cell r="H49">
            <v>170.800005</v>
          </cell>
          <cell r="I49">
            <v>173.8</v>
          </cell>
          <cell r="J49">
            <v>187.92499750000002</v>
          </cell>
          <cell r="K49">
            <v>199.20000250000001</v>
          </cell>
          <cell r="L49">
            <v>216.07499999999999</v>
          </cell>
          <cell r="M49">
            <v>240.125</v>
          </cell>
          <cell r="N49">
            <v>285.75</v>
          </cell>
          <cell r="O49">
            <v>347.5</v>
          </cell>
          <cell r="P49">
            <v>438.42499250000003</v>
          </cell>
          <cell r="Q49">
            <v>524.50000499999999</v>
          </cell>
          <cell r="R49">
            <v>577.17500250000001</v>
          </cell>
          <cell r="S49">
            <v>574.05000250000001</v>
          </cell>
          <cell r="T49">
            <v>406.07499749999999</v>
          </cell>
          <cell r="U49">
            <v>328.21500500000002</v>
          </cell>
          <cell r="V49">
            <v>316.67500250000001</v>
          </cell>
          <cell r="W49">
            <v>301.82498999999996</v>
          </cell>
        </row>
        <row r="50">
          <cell r="B50">
            <v>60.8500005</v>
          </cell>
          <cell r="C50">
            <v>65.350000249999994</v>
          </cell>
          <cell r="D50">
            <v>69.549999249999999</v>
          </cell>
          <cell r="E50">
            <v>74.149999500000007</v>
          </cell>
          <cell r="F50">
            <v>80.400001500000002</v>
          </cell>
          <cell r="G50">
            <v>85.875</v>
          </cell>
          <cell r="H50">
            <v>91.424999</v>
          </cell>
          <cell r="I50">
            <v>96.424999249999985</v>
          </cell>
          <cell r="J50">
            <v>106.02500000000001</v>
          </cell>
          <cell r="K50">
            <v>109.44999999999999</v>
          </cell>
          <cell r="L50">
            <v>117.67500000000001</v>
          </cell>
          <cell r="M50">
            <v>108.3</v>
          </cell>
          <cell r="N50">
            <v>125.1</v>
          </cell>
          <cell r="O50">
            <v>130.949995</v>
          </cell>
          <cell r="P50">
            <v>131.17499750000002</v>
          </cell>
          <cell r="Q50">
            <v>134.800005</v>
          </cell>
          <cell r="R50">
            <v>137.3250075</v>
          </cell>
          <cell r="S50">
            <v>136.87499750000001</v>
          </cell>
          <cell r="T50">
            <v>131.4749975</v>
          </cell>
          <cell r="U50">
            <v>129.87500499999999</v>
          </cell>
          <cell r="V50">
            <v>134.02499749999998</v>
          </cell>
          <cell r="W50">
            <v>130.074995</v>
          </cell>
        </row>
        <row r="51">
          <cell r="B51">
            <v>80.300001250000008</v>
          </cell>
          <cell r="C51">
            <v>85.924999249999985</v>
          </cell>
          <cell r="D51">
            <v>92.525001500000002</v>
          </cell>
          <cell r="E51">
            <v>101.95000075</v>
          </cell>
          <cell r="F51">
            <v>113.375</v>
          </cell>
          <cell r="G51">
            <v>121.35000000000001</v>
          </cell>
          <cell r="H51">
            <v>120.425</v>
          </cell>
          <cell r="I51">
            <v>123.82499999999999</v>
          </cell>
          <cell r="J51">
            <v>129.65</v>
          </cell>
          <cell r="K51">
            <v>134.24999500000001</v>
          </cell>
          <cell r="L51">
            <v>150.30000250000001</v>
          </cell>
          <cell r="M51">
            <v>158.50000249999999</v>
          </cell>
          <cell r="N51">
            <v>171.67500000000001</v>
          </cell>
          <cell r="O51">
            <v>184.09999749999997</v>
          </cell>
          <cell r="P51">
            <v>200.10000499999998</v>
          </cell>
          <cell r="Q51">
            <v>219.22500249999999</v>
          </cell>
          <cell r="R51">
            <v>222.97499250000001</v>
          </cell>
          <cell r="S51">
            <v>226.67500000000001</v>
          </cell>
          <cell r="T51">
            <v>225.57499999999999</v>
          </cell>
          <cell r="U51">
            <v>210.47499749999997</v>
          </cell>
          <cell r="V51">
            <v>218.92500000000001</v>
          </cell>
          <cell r="W51">
            <v>212.25</v>
          </cell>
        </row>
        <row r="52">
          <cell r="B52">
            <v>78.075001</v>
          </cell>
          <cell r="C52">
            <v>82.550001250000008</v>
          </cell>
          <cell r="D52">
            <v>85.25</v>
          </cell>
          <cell r="E52">
            <v>86.749997999999991</v>
          </cell>
          <cell r="F52">
            <v>86.099998249999999</v>
          </cell>
          <cell r="G52">
            <v>86.124999750000001</v>
          </cell>
          <cell r="H52">
            <v>96.175001500000008</v>
          </cell>
          <cell r="I52">
            <v>103.47500049999999</v>
          </cell>
          <cell r="J52">
            <v>109.55000000000001</v>
          </cell>
          <cell r="K52">
            <v>110.85</v>
          </cell>
          <cell r="L52">
            <v>115.10000000000001</v>
          </cell>
          <cell r="M52">
            <v>124.9000025</v>
          </cell>
          <cell r="N52">
            <v>128.94999749999999</v>
          </cell>
          <cell r="O52">
            <v>133.44999999999999</v>
          </cell>
          <cell r="P52">
            <v>135.67500250000001</v>
          </cell>
          <cell r="Q52">
            <v>141</v>
          </cell>
          <cell r="R52">
            <v>142.17499750000002</v>
          </cell>
          <cell r="S52">
            <v>136.44999749999999</v>
          </cell>
          <cell r="T52">
            <v>117.2750025</v>
          </cell>
          <cell r="U52">
            <v>116.8249995</v>
          </cell>
          <cell r="V52">
            <v>118.45000000000002</v>
          </cell>
          <cell r="W52">
            <v>111.4</v>
          </cell>
        </row>
        <row r="53">
          <cell r="B53">
            <v>91.274999750000006</v>
          </cell>
          <cell r="C53">
            <v>93.625</v>
          </cell>
          <cell r="D53">
            <v>97.299999000000014</v>
          </cell>
          <cell r="E53">
            <v>100.52500000000001</v>
          </cell>
          <cell r="F53">
            <v>102.075</v>
          </cell>
          <cell r="G53">
            <v>105.27500000000001</v>
          </cell>
          <cell r="H53">
            <v>112.125</v>
          </cell>
          <cell r="I53">
            <v>119.72499999999999</v>
          </cell>
          <cell r="J53">
            <v>124.02500000000001</v>
          </cell>
          <cell r="K53">
            <v>133.14999749999998</v>
          </cell>
          <cell r="L53">
            <v>142</v>
          </cell>
          <cell r="M53">
            <v>157.44999749999999</v>
          </cell>
          <cell r="N53">
            <v>193.09999499999998</v>
          </cell>
          <cell r="O53">
            <v>230.0250025</v>
          </cell>
          <cell r="P53">
            <v>288.10000249999996</v>
          </cell>
          <cell r="Q53">
            <v>371.42500250000001</v>
          </cell>
          <cell r="R53">
            <v>371.79999499999997</v>
          </cell>
          <cell r="S53">
            <v>365.47498999999993</v>
          </cell>
          <cell r="T53">
            <v>287.82500249999998</v>
          </cell>
          <cell r="U53">
            <v>207.42499750000002</v>
          </cell>
          <cell r="V53">
            <v>201.875</v>
          </cell>
          <cell r="W53">
            <v>180.95</v>
          </cell>
        </row>
        <row r="54">
          <cell r="B54">
            <v>84.775001500000002</v>
          </cell>
          <cell r="C54">
            <v>89.899999750000006</v>
          </cell>
          <cell r="D54">
            <v>97.074998750000006</v>
          </cell>
          <cell r="E54">
            <v>103.5250005</v>
          </cell>
          <cell r="F54">
            <v>108.65</v>
          </cell>
          <cell r="G54">
            <v>114.10000000000001</v>
          </cell>
          <cell r="H54">
            <v>118.85000000000001</v>
          </cell>
          <cell r="I54">
            <v>124.8500025</v>
          </cell>
          <cell r="J54">
            <v>132.70000249999998</v>
          </cell>
          <cell r="K54">
            <v>134.5</v>
          </cell>
          <cell r="L54">
            <v>139.44999999999999</v>
          </cell>
          <cell r="M54">
            <v>150.574995</v>
          </cell>
          <cell r="N54">
            <v>172.67499750000002</v>
          </cell>
          <cell r="O54">
            <v>181.3250075</v>
          </cell>
          <cell r="P54">
            <v>196.00000249999999</v>
          </cell>
          <cell r="Q54">
            <v>212.574995</v>
          </cell>
          <cell r="R54">
            <v>219.27499750000001</v>
          </cell>
          <cell r="S54">
            <v>220.42500250000001</v>
          </cell>
          <cell r="T54">
            <v>208.99999249999999</v>
          </cell>
          <cell r="U54">
            <v>192.54999749999999</v>
          </cell>
          <cell r="V54">
            <v>205.85000249999999</v>
          </cell>
          <cell r="W54">
            <v>185.7249975</v>
          </cell>
        </row>
        <row r="55">
          <cell r="B55">
            <v>88.675001250000008</v>
          </cell>
          <cell r="C55">
            <v>91.099998499999998</v>
          </cell>
          <cell r="D55">
            <v>94.199998999999991</v>
          </cell>
          <cell r="E55">
            <v>97.899999750000006</v>
          </cell>
          <cell r="F55">
            <v>101.425</v>
          </cell>
          <cell r="G55">
            <v>106.25</v>
          </cell>
          <cell r="H55">
            <v>114.825</v>
          </cell>
          <cell r="I55">
            <v>118.3</v>
          </cell>
          <cell r="J55">
            <v>127.425</v>
          </cell>
          <cell r="K55">
            <v>138.2750025</v>
          </cell>
          <cell r="L55">
            <v>148.5</v>
          </cell>
          <cell r="M55">
            <v>166.04999750000002</v>
          </cell>
          <cell r="N55">
            <v>183.824995</v>
          </cell>
          <cell r="O55">
            <v>201.52500500000002</v>
          </cell>
          <cell r="P55">
            <v>215.85000249999999</v>
          </cell>
          <cell r="Q55">
            <v>229.97499999999999</v>
          </cell>
          <cell r="R55">
            <v>232.39999999999998</v>
          </cell>
          <cell r="S55">
            <v>224.10000500000001</v>
          </cell>
          <cell r="T55">
            <v>197.45</v>
          </cell>
          <cell r="U55">
            <v>177.72500250000002</v>
          </cell>
          <cell r="V55">
            <v>168.7249975</v>
          </cell>
          <cell r="W55">
            <v>152.42500250000001</v>
          </cell>
        </row>
        <row r="56">
          <cell r="B56">
            <v>81.675001250000008</v>
          </cell>
          <cell r="C56">
            <v>86.600000499999993</v>
          </cell>
          <cell r="D56">
            <v>88.824998999999991</v>
          </cell>
          <cell r="E56">
            <v>90.275001750000001</v>
          </cell>
          <cell r="F56">
            <v>96.574998749999992</v>
          </cell>
          <cell r="G56">
            <v>106.6</v>
          </cell>
          <cell r="H56">
            <v>112.55</v>
          </cell>
          <cell r="I56">
            <v>114.825</v>
          </cell>
          <cell r="J56">
            <v>116.75</v>
          </cell>
          <cell r="K56">
            <v>116.47499999999999</v>
          </cell>
          <cell r="L56">
            <v>125.96667000000001</v>
          </cell>
          <cell r="M56">
            <v>133.4749975</v>
          </cell>
          <cell r="O56">
            <v>141.65000499999999</v>
          </cell>
          <cell r="P56">
            <v>145.7750025</v>
          </cell>
          <cell r="Q56">
            <v>161.75</v>
          </cell>
          <cell r="R56">
            <v>171.59999500000001</v>
          </cell>
          <cell r="S56">
            <v>186.39999</v>
          </cell>
          <cell r="V56">
            <v>154.60001</v>
          </cell>
          <cell r="W56">
            <v>151.57500249999998</v>
          </cell>
        </row>
        <row r="57">
          <cell r="B57">
            <v>152.55000000000001</v>
          </cell>
          <cell r="C57">
            <v>151.42500000000001</v>
          </cell>
          <cell r="D57">
            <v>145.175005</v>
          </cell>
          <cell r="E57">
            <v>142.65</v>
          </cell>
          <cell r="F57">
            <v>139.5250025</v>
          </cell>
          <cell r="G57">
            <v>134.60000250000002</v>
          </cell>
          <cell r="H57">
            <v>132.57499749999999</v>
          </cell>
          <cell r="I57">
            <v>133.70000249999998</v>
          </cell>
          <cell r="J57">
            <v>137.02499749999998</v>
          </cell>
          <cell r="K57">
            <v>144.5499925</v>
          </cell>
          <cell r="L57">
            <v>150.60000250000002</v>
          </cell>
          <cell r="M57">
            <v>167.07499999999999</v>
          </cell>
          <cell r="N57">
            <v>191.42500000000001</v>
          </cell>
          <cell r="O57">
            <v>223.87499500000001</v>
          </cell>
          <cell r="P57">
            <v>249.22500249999999</v>
          </cell>
          <cell r="Q57">
            <v>273.70000249999998</v>
          </cell>
          <cell r="R57">
            <v>286.32499749999999</v>
          </cell>
          <cell r="S57">
            <v>284.97499749999997</v>
          </cell>
          <cell r="T57">
            <v>262.32500249999998</v>
          </cell>
          <cell r="U57">
            <v>232.7750025</v>
          </cell>
          <cell r="V57">
            <v>230.59999500000001</v>
          </cell>
          <cell r="W57">
            <v>222</v>
          </cell>
        </row>
        <row r="58">
          <cell r="B58">
            <v>67.299999249999999</v>
          </cell>
          <cell r="C58">
            <v>71.649999250000008</v>
          </cell>
          <cell r="D58">
            <v>73.474998499999998</v>
          </cell>
          <cell r="E58">
            <v>76.574998749999992</v>
          </cell>
          <cell r="F58">
            <v>76.875002249999994</v>
          </cell>
          <cell r="G58">
            <v>77.600002500000002</v>
          </cell>
          <cell r="H58">
            <v>86.925000999999995</v>
          </cell>
          <cell r="I58">
            <v>93.350000250000008</v>
          </cell>
          <cell r="J58">
            <v>101.9000005</v>
          </cell>
          <cell r="K58">
            <v>108.1</v>
          </cell>
          <cell r="L58">
            <v>111.675</v>
          </cell>
          <cell r="M58">
            <v>117.02500000000001</v>
          </cell>
          <cell r="N58">
            <v>122.52500000000001</v>
          </cell>
          <cell r="O58">
            <v>130.14999749999998</v>
          </cell>
          <cell r="P58">
            <v>137.15</v>
          </cell>
          <cell r="Q58">
            <v>158.925005</v>
          </cell>
          <cell r="R58">
            <v>172.4000025</v>
          </cell>
          <cell r="S58">
            <v>160.07499749999999</v>
          </cell>
          <cell r="T58">
            <v>160.42499750000002</v>
          </cell>
          <cell r="U58">
            <v>159.69999749999999</v>
          </cell>
          <cell r="V58">
            <v>159.97500250000002</v>
          </cell>
          <cell r="W58">
            <v>152.42499750000002</v>
          </cell>
        </row>
        <row r="59">
          <cell r="B59">
            <v>170.54999999999998</v>
          </cell>
          <cell r="C59">
            <v>169.45</v>
          </cell>
          <cell r="D59">
            <v>168.92499750000002</v>
          </cell>
          <cell r="E59">
            <v>169.35000500000001</v>
          </cell>
          <cell r="F59">
            <v>169.22499999999999</v>
          </cell>
          <cell r="G59">
            <v>165.97500000000002</v>
          </cell>
          <cell r="H59">
            <v>172.25</v>
          </cell>
          <cell r="I59">
            <v>174.00000249999999</v>
          </cell>
          <cell r="J59">
            <v>183.45000249999998</v>
          </cell>
          <cell r="K59">
            <v>199.1</v>
          </cell>
          <cell r="L59">
            <v>226.25</v>
          </cell>
          <cell r="M59">
            <v>251.25000249999999</v>
          </cell>
          <cell r="N59">
            <v>296.12500249999999</v>
          </cell>
          <cell r="O59">
            <v>340.82499749999999</v>
          </cell>
          <cell r="P59">
            <v>384.42500250000001</v>
          </cell>
          <cell r="Q59">
            <v>445.10000750000006</v>
          </cell>
          <cell r="R59">
            <v>468.77499999999998</v>
          </cell>
          <cell r="S59">
            <v>469</v>
          </cell>
          <cell r="T59">
            <v>436.04999499999997</v>
          </cell>
          <cell r="U59">
            <v>380.40000250000003</v>
          </cell>
          <cell r="V59">
            <v>392.15</v>
          </cell>
          <cell r="W59">
            <v>378.25</v>
          </cell>
        </row>
        <row r="60">
          <cell r="B60">
            <v>83.674999499999998</v>
          </cell>
          <cell r="C60">
            <v>88.725000250000008</v>
          </cell>
          <cell r="D60">
            <v>93.124998000000005</v>
          </cell>
          <cell r="E60">
            <v>101.6250005</v>
          </cell>
          <cell r="F60">
            <v>106.87499999999999</v>
          </cell>
          <cell r="G60">
            <v>117.625</v>
          </cell>
          <cell r="H60">
            <v>120.22499999999999</v>
          </cell>
          <cell r="I60">
            <v>127.05000250000001</v>
          </cell>
          <cell r="J60">
            <v>134.02499749999998</v>
          </cell>
          <cell r="K60">
            <v>139.34999249999998</v>
          </cell>
          <cell r="L60">
            <v>152.06666666666666</v>
          </cell>
          <cell r="M60">
            <v>167.57499999999999</v>
          </cell>
          <cell r="N60">
            <v>191.42499999999998</v>
          </cell>
          <cell r="O60">
            <v>223.375</v>
          </cell>
          <cell r="P60">
            <v>275.49999250000002</v>
          </cell>
          <cell r="Q60">
            <v>353.29999499999997</v>
          </cell>
          <cell r="R60">
            <v>338.949995</v>
          </cell>
          <cell r="S60">
            <v>302.47499749999997</v>
          </cell>
          <cell r="T60">
            <v>236.049995</v>
          </cell>
          <cell r="U60">
            <v>171.875</v>
          </cell>
          <cell r="V60">
            <v>170.10000500000001</v>
          </cell>
          <cell r="W60">
            <v>156.5999975</v>
          </cell>
        </row>
        <row r="61">
          <cell r="B61">
            <v>52.9499985</v>
          </cell>
          <cell r="C61">
            <v>56.824999750000003</v>
          </cell>
          <cell r="D61">
            <v>61.425000249999997</v>
          </cell>
          <cell r="E61">
            <v>64.474998249999999</v>
          </cell>
          <cell r="F61">
            <v>66.599998249999999</v>
          </cell>
          <cell r="G61">
            <v>70.124999750000001</v>
          </cell>
          <cell r="H61">
            <v>74.349998249999999</v>
          </cell>
          <cell r="I61">
            <v>76.700000750000001</v>
          </cell>
          <cell r="J61">
            <v>82.600000249999994</v>
          </cell>
          <cell r="K61">
            <v>83.875</v>
          </cell>
          <cell r="L61">
            <v>85.299999</v>
          </cell>
          <cell r="M61">
            <v>92.125</v>
          </cell>
          <cell r="N61">
            <v>97.650000250000005</v>
          </cell>
          <cell r="O61">
            <v>103</v>
          </cell>
          <cell r="P61">
            <v>106.675</v>
          </cell>
          <cell r="Q61">
            <v>115.625</v>
          </cell>
          <cell r="R61">
            <v>124</v>
          </cell>
          <cell r="S61">
            <v>132.14999499999999</v>
          </cell>
          <cell r="T61">
            <v>128.05000250000001</v>
          </cell>
          <cell r="U61">
            <v>140.04999750000002</v>
          </cell>
          <cell r="V61">
            <v>142.17500000000001</v>
          </cell>
          <cell r="W61">
            <v>103.875</v>
          </cell>
        </row>
        <row r="62">
          <cell r="B62">
            <v>62.925001250000001</v>
          </cell>
          <cell r="C62">
            <v>66.374999750000001</v>
          </cell>
          <cell r="D62">
            <v>69.375</v>
          </cell>
          <cell r="E62">
            <v>71.725000249999994</v>
          </cell>
          <cell r="F62">
            <v>75.425001000000009</v>
          </cell>
          <cell r="G62">
            <v>82.524999500000007</v>
          </cell>
          <cell r="H62">
            <v>87.924999000000014</v>
          </cell>
          <cell r="I62">
            <v>93.274999500000007</v>
          </cell>
          <cell r="J62">
            <v>102.825</v>
          </cell>
          <cell r="K62">
            <v>108.7249995</v>
          </cell>
          <cell r="L62">
            <v>113.97499999999999</v>
          </cell>
          <cell r="M62">
            <v>116.47499999999999</v>
          </cell>
          <cell r="N62">
            <v>122.17499999999998</v>
          </cell>
          <cell r="O62">
            <v>127.17500000000001</v>
          </cell>
          <cell r="P62">
            <v>132.30000000000001</v>
          </cell>
          <cell r="Q62">
            <v>136.3499975</v>
          </cell>
          <cell r="R62">
            <v>138.12499500000001</v>
          </cell>
          <cell r="S62">
            <v>137.75</v>
          </cell>
          <cell r="T62">
            <v>134.52499749999998</v>
          </cell>
          <cell r="U62">
            <v>132.9749975</v>
          </cell>
          <cell r="V62">
            <v>136.77500000000001</v>
          </cell>
          <cell r="W62">
            <v>134.62499500000001</v>
          </cell>
        </row>
        <row r="63">
          <cell r="B63">
            <v>82.500002249999994</v>
          </cell>
          <cell r="C63">
            <v>86.200000999999986</v>
          </cell>
          <cell r="D63">
            <v>87.475000500000007</v>
          </cell>
          <cell r="E63">
            <v>90.075000750000001</v>
          </cell>
          <cell r="F63">
            <v>90.700001</v>
          </cell>
          <cell r="G63">
            <v>89.149999499999993</v>
          </cell>
          <cell r="H63">
            <v>92.149997749999997</v>
          </cell>
          <cell r="I63">
            <v>94.799999</v>
          </cell>
          <cell r="J63">
            <v>99.350000749999992</v>
          </cell>
          <cell r="K63">
            <v>105.1</v>
          </cell>
          <cell r="L63">
            <v>111.37499999999999</v>
          </cell>
          <cell r="M63">
            <v>123.7</v>
          </cell>
          <cell r="N63">
            <v>134.60000500000001</v>
          </cell>
          <cell r="O63">
            <v>145.22499999999999</v>
          </cell>
          <cell r="P63">
            <v>171.5250025</v>
          </cell>
          <cell r="Q63">
            <v>237.42499249999997</v>
          </cell>
          <cell r="R63">
            <v>268.82500500000003</v>
          </cell>
          <cell r="S63">
            <v>259.82499749999999</v>
          </cell>
          <cell r="T63">
            <v>211.02499749999998</v>
          </cell>
          <cell r="U63">
            <v>150.375</v>
          </cell>
          <cell r="V63">
            <v>134.64999749999998</v>
          </cell>
          <cell r="W63">
            <v>125.27500000000001</v>
          </cell>
        </row>
        <row r="64">
          <cell r="B64">
            <v>71.425001250000008</v>
          </cell>
          <cell r="C64">
            <v>73.67499724999999</v>
          </cell>
          <cell r="D64">
            <v>73.374998250000004</v>
          </cell>
          <cell r="E64">
            <v>76.200000500000002</v>
          </cell>
          <cell r="F64">
            <v>76.799999</v>
          </cell>
          <cell r="G64">
            <v>78.375000249999999</v>
          </cell>
          <cell r="H64">
            <v>79.574998749999992</v>
          </cell>
          <cell r="I64">
            <v>83.374999750000001</v>
          </cell>
          <cell r="J64">
            <v>88.524999750000006</v>
          </cell>
          <cell r="K64">
            <v>86.924999249999999</v>
          </cell>
          <cell r="L64">
            <v>92.250002249999994</v>
          </cell>
          <cell r="M64">
            <v>92.499999750000001</v>
          </cell>
          <cell r="N64">
            <v>104.0250005</v>
          </cell>
          <cell r="O64">
            <v>123.125</v>
          </cell>
          <cell r="P64">
            <v>152</v>
          </cell>
          <cell r="Q64">
            <v>202.60000250000002</v>
          </cell>
          <cell r="R64">
            <v>201.44999749999999</v>
          </cell>
          <cell r="S64">
            <v>177.07499749999999</v>
          </cell>
          <cell r="T64">
            <v>143.92500000000001</v>
          </cell>
          <cell r="U64">
            <v>107.02499999999999</v>
          </cell>
          <cell r="V64">
            <v>102.97499875</v>
          </cell>
          <cell r="W64">
            <v>103.375</v>
          </cell>
        </row>
        <row r="65">
          <cell r="B65">
            <v>107.925</v>
          </cell>
          <cell r="C65">
            <v>113.4</v>
          </cell>
          <cell r="D65">
            <v>114.75</v>
          </cell>
          <cell r="E65">
            <v>114.55</v>
          </cell>
          <cell r="F65">
            <v>116.425</v>
          </cell>
          <cell r="G65">
            <v>115.425</v>
          </cell>
          <cell r="J65">
            <v>126.35000000000001</v>
          </cell>
          <cell r="K65">
            <v>121.95</v>
          </cell>
          <cell r="L65">
            <v>120.97500000000001</v>
          </cell>
          <cell r="M65">
            <v>131.64999749999998</v>
          </cell>
          <cell r="N65">
            <v>145.72500000000002</v>
          </cell>
          <cell r="O65">
            <v>167.22500250000002</v>
          </cell>
          <cell r="P65">
            <v>183.7750025</v>
          </cell>
          <cell r="Q65">
            <v>211.97500499999998</v>
          </cell>
          <cell r="R65">
            <v>228.82500249999998</v>
          </cell>
          <cell r="S65">
            <v>233.82499999999999</v>
          </cell>
          <cell r="T65">
            <v>227.55</v>
          </cell>
          <cell r="U65">
            <v>214.2750025</v>
          </cell>
          <cell r="V65">
            <v>219.875</v>
          </cell>
          <cell r="W65">
            <v>208.7000075</v>
          </cell>
        </row>
        <row r="66">
          <cell r="B66">
            <v>83.900001500000002</v>
          </cell>
          <cell r="C66">
            <v>85.399999500000007</v>
          </cell>
          <cell r="D66">
            <v>86.649997500000012</v>
          </cell>
          <cell r="E66">
            <v>88.924999249999999</v>
          </cell>
          <cell r="F66">
            <v>91.374998000000005</v>
          </cell>
          <cell r="G66">
            <v>96.200000500000016</v>
          </cell>
          <cell r="H66">
            <v>105.24999999999999</v>
          </cell>
          <cell r="I66">
            <v>113.44999999999999</v>
          </cell>
          <cell r="J66">
            <v>120.2</v>
          </cell>
          <cell r="K66">
            <v>126.25</v>
          </cell>
          <cell r="L66">
            <v>134.22499249999998</v>
          </cell>
          <cell r="M66">
            <v>139.42500000000001</v>
          </cell>
          <cell r="N66">
            <v>144</v>
          </cell>
          <cell r="O66">
            <v>152.17500250000001</v>
          </cell>
          <cell r="P66">
            <v>168.57500249999998</v>
          </cell>
          <cell r="Q66">
            <v>243.39999500000002</v>
          </cell>
          <cell r="R66">
            <v>267.30000250000001</v>
          </cell>
          <cell r="S66">
            <v>256.12499750000001</v>
          </cell>
          <cell r="T66">
            <v>192.07500250000001</v>
          </cell>
          <cell r="U66">
            <v>136.72499999999999</v>
          </cell>
          <cell r="V66">
            <v>138.9749975</v>
          </cell>
          <cell r="W66">
            <v>118.55</v>
          </cell>
        </row>
        <row r="67">
          <cell r="B67">
            <v>70.424999</v>
          </cell>
          <cell r="C67">
            <v>73.899999750000006</v>
          </cell>
          <cell r="D67">
            <v>78.724998249999999</v>
          </cell>
          <cell r="E67">
            <v>82.149999500000007</v>
          </cell>
          <cell r="F67">
            <v>81.049999249999999</v>
          </cell>
          <cell r="G67">
            <v>82.125001999999995</v>
          </cell>
          <cell r="H67">
            <v>85.200002749999996</v>
          </cell>
          <cell r="I67">
            <v>87.350000249999994</v>
          </cell>
          <cell r="J67">
            <v>90.525001500000002</v>
          </cell>
          <cell r="K67">
            <v>90.449999000000005</v>
          </cell>
          <cell r="L67">
            <v>93.874998000000005</v>
          </cell>
          <cell r="M67">
            <v>97.949999750000003</v>
          </cell>
          <cell r="N67">
            <v>101.89999924999999</v>
          </cell>
          <cell r="O67">
            <v>106.7499995</v>
          </cell>
          <cell r="P67">
            <v>111.125</v>
          </cell>
          <cell r="Q67">
            <v>115.45</v>
          </cell>
          <cell r="R67">
            <v>115.14999999999999</v>
          </cell>
          <cell r="S67">
            <v>119.27500000000001</v>
          </cell>
          <cell r="T67">
            <v>117.15</v>
          </cell>
          <cell r="U67">
            <v>116.62500000000001</v>
          </cell>
          <cell r="V67">
            <v>121.3</v>
          </cell>
        </row>
        <row r="68">
          <cell r="B68">
            <v>78.025001750000001</v>
          </cell>
          <cell r="C68">
            <v>87.399997500000012</v>
          </cell>
          <cell r="D68">
            <v>95.575001000000015</v>
          </cell>
          <cell r="E68">
            <v>103.4</v>
          </cell>
          <cell r="F68">
            <v>114.625</v>
          </cell>
          <cell r="G68">
            <v>125.175</v>
          </cell>
          <cell r="H68">
            <v>138.625</v>
          </cell>
          <cell r="I68">
            <v>149.1500025</v>
          </cell>
          <cell r="J68">
            <v>154.94999999999999</v>
          </cell>
          <cell r="K68">
            <v>161.79999750000002</v>
          </cell>
          <cell r="L68">
            <v>166.74999750000001</v>
          </cell>
          <cell r="M68">
            <v>168.79999750000002</v>
          </cell>
          <cell r="N68">
            <v>176.9000025</v>
          </cell>
          <cell r="O68">
            <v>187.97499999999999</v>
          </cell>
          <cell r="P68">
            <v>205.67500000000001</v>
          </cell>
          <cell r="Q68">
            <v>242.0250025</v>
          </cell>
          <cell r="R68">
            <v>280.04999499999997</v>
          </cell>
          <cell r="S68">
            <v>294.59999749999997</v>
          </cell>
          <cell r="T68">
            <v>278.95000749999997</v>
          </cell>
          <cell r="U68">
            <v>244.67499999999998</v>
          </cell>
          <cell r="V68">
            <v>237.05</v>
          </cell>
          <cell r="W68">
            <v>218.89999750000001</v>
          </cell>
        </row>
        <row r="69">
          <cell r="B69">
            <v>135.12499750000001</v>
          </cell>
          <cell r="C69">
            <v>131.47499999999999</v>
          </cell>
          <cell r="D69">
            <v>125.42499999999998</v>
          </cell>
          <cell r="E69">
            <v>122.92500000000001</v>
          </cell>
          <cell r="F69">
            <v>123.02499999999999</v>
          </cell>
          <cell r="G69">
            <v>121.94999999999999</v>
          </cell>
          <cell r="H69">
            <v>124.35</v>
          </cell>
          <cell r="I69">
            <v>126.22500000000001</v>
          </cell>
          <cell r="J69">
            <v>131.02500000000001</v>
          </cell>
          <cell r="K69">
            <v>135.949995</v>
          </cell>
          <cell r="L69">
            <v>145.19999999999999</v>
          </cell>
          <cell r="M69">
            <v>165.27500000000001</v>
          </cell>
          <cell r="N69">
            <v>202.07499999999999</v>
          </cell>
          <cell r="O69">
            <v>241.04999749999999</v>
          </cell>
          <cell r="P69">
            <v>274.57499749999999</v>
          </cell>
          <cell r="Q69">
            <v>292.40000250000003</v>
          </cell>
          <cell r="R69">
            <v>291.45</v>
          </cell>
          <cell r="S69">
            <v>285.30000250000001</v>
          </cell>
          <cell r="T69">
            <v>251.02500000000001</v>
          </cell>
          <cell r="U69">
            <v>217.049995</v>
          </cell>
          <cell r="V69">
            <v>224.59999250000001</v>
          </cell>
          <cell r="W69">
            <v>216.34999750000003</v>
          </cell>
        </row>
        <row r="70">
          <cell r="B70">
            <v>100</v>
          </cell>
          <cell r="C70">
            <v>94.100000249999994</v>
          </cell>
          <cell r="D70">
            <v>98.1</v>
          </cell>
          <cell r="E70">
            <v>100.4250005</v>
          </cell>
          <cell r="F70">
            <v>107.625</v>
          </cell>
          <cell r="G70">
            <v>117.825</v>
          </cell>
          <cell r="H70">
            <v>135.10000250000002</v>
          </cell>
          <cell r="I70">
            <v>141.87499750000001</v>
          </cell>
          <cell r="J70">
            <v>148.40000750000002</v>
          </cell>
          <cell r="K70">
            <v>154.00000249999999</v>
          </cell>
          <cell r="L70">
            <v>152.30000000000001</v>
          </cell>
          <cell r="M70">
            <v>154.10000250000002</v>
          </cell>
          <cell r="N70">
            <v>160.02499499999999</v>
          </cell>
          <cell r="O70">
            <v>162.04999750000002</v>
          </cell>
          <cell r="P70">
            <v>169.925005</v>
          </cell>
          <cell r="Q70">
            <v>193.37499750000001</v>
          </cell>
          <cell r="R70">
            <v>211.85000499999998</v>
          </cell>
          <cell r="S70">
            <v>228.22500499999998</v>
          </cell>
          <cell r="T70">
            <v>223.52499750000001</v>
          </cell>
          <cell r="U70">
            <v>215.42499750000002</v>
          </cell>
          <cell r="V70">
            <v>223.875</v>
          </cell>
          <cell r="W70">
            <v>232.89999666666668</v>
          </cell>
        </row>
        <row r="71">
          <cell r="B71">
            <v>87.274999750000006</v>
          </cell>
          <cell r="C71">
            <v>91.850000499999993</v>
          </cell>
          <cell r="D71">
            <v>94.299999249999985</v>
          </cell>
          <cell r="E71">
            <v>93.675001500000008</v>
          </cell>
          <cell r="F71">
            <v>95.399999749999992</v>
          </cell>
          <cell r="G71">
            <v>103.0500005</v>
          </cell>
          <cell r="H71">
            <v>108.35</v>
          </cell>
          <cell r="I71">
            <v>113.97499999999999</v>
          </cell>
          <cell r="J71">
            <v>121.675</v>
          </cell>
          <cell r="K71">
            <v>127.95</v>
          </cell>
          <cell r="L71">
            <v>129.50000249999999</v>
          </cell>
          <cell r="M71">
            <v>132.25</v>
          </cell>
          <cell r="N71">
            <v>140.3499975</v>
          </cell>
          <cell r="O71">
            <v>153.79999750000002</v>
          </cell>
          <cell r="P71">
            <v>169.7750025</v>
          </cell>
          <cell r="Q71">
            <v>200.92499750000002</v>
          </cell>
          <cell r="R71">
            <v>224.574995</v>
          </cell>
          <cell r="S71">
            <v>232.79999750000002</v>
          </cell>
          <cell r="T71">
            <v>218.92499749999999</v>
          </cell>
          <cell r="U71">
            <v>207.64999</v>
          </cell>
          <cell r="V71">
            <v>210.10001</v>
          </cell>
        </row>
        <row r="72">
          <cell r="B72">
            <v>131.97499249999998</v>
          </cell>
          <cell r="C72">
            <v>135.35000250000002</v>
          </cell>
          <cell r="D72">
            <v>136.32499999999999</v>
          </cell>
          <cell r="E72">
            <v>134.44999999999999</v>
          </cell>
          <cell r="F72">
            <v>129.12499500000001</v>
          </cell>
          <cell r="G72">
            <v>121.07499999999999</v>
          </cell>
          <cell r="H72">
            <v>115.15</v>
          </cell>
          <cell r="I72">
            <v>114.575</v>
          </cell>
          <cell r="J72">
            <v>118.19999999999999</v>
          </cell>
          <cell r="K72">
            <v>128.35</v>
          </cell>
          <cell r="L72">
            <v>138.57499999999999</v>
          </cell>
          <cell r="M72">
            <v>155.7750025</v>
          </cell>
          <cell r="N72">
            <v>175.89999999999998</v>
          </cell>
          <cell r="O72">
            <v>218.92499749999999</v>
          </cell>
          <cell r="P72">
            <v>296.87499750000001</v>
          </cell>
          <cell r="Q72">
            <v>371.07499499999994</v>
          </cell>
          <cell r="R72">
            <v>401.90000250000003</v>
          </cell>
          <cell r="S72">
            <v>376.55000250000001</v>
          </cell>
          <cell r="T72">
            <v>245.20000499999998</v>
          </cell>
          <cell r="U72">
            <v>169.7125025</v>
          </cell>
          <cell r="V72">
            <v>179.32500000000002</v>
          </cell>
          <cell r="W72">
            <v>172.32499999999999</v>
          </cell>
        </row>
        <row r="73">
          <cell r="B73">
            <v>79.725000499999993</v>
          </cell>
          <cell r="C73">
            <v>81.150001750000001</v>
          </cell>
          <cell r="D73">
            <v>84.550003000000004</v>
          </cell>
          <cell r="E73">
            <v>84.525001500000002</v>
          </cell>
          <cell r="F73">
            <v>85.575000750000001</v>
          </cell>
          <cell r="G73">
            <v>84.799999</v>
          </cell>
          <cell r="H73">
            <v>85.924999249999999</v>
          </cell>
          <cell r="I73">
            <v>86.649999749999992</v>
          </cell>
          <cell r="J73">
            <v>88.674999499999984</v>
          </cell>
          <cell r="K73">
            <v>87.5</v>
          </cell>
          <cell r="L73">
            <v>86.900001750000001</v>
          </cell>
          <cell r="M73">
            <v>91.375</v>
          </cell>
          <cell r="N73">
            <v>93.100000500000007</v>
          </cell>
          <cell r="O73">
            <v>98.525000250000005</v>
          </cell>
          <cell r="P73">
            <v>105.00000075</v>
          </cell>
          <cell r="Q73">
            <v>112.825</v>
          </cell>
          <cell r="R73">
            <v>113.55000000000001</v>
          </cell>
          <cell r="S73">
            <v>116.97500000000001</v>
          </cell>
          <cell r="T73">
            <v>115.94999999999999</v>
          </cell>
          <cell r="U73">
            <v>114.57499999999999</v>
          </cell>
          <cell r="V73">
            <v>118.30000000000001</v>
          </cell>
          <cell r="W73">
            <v>119.1</v>
          </cell>
        </row>
        <row r="74">
          <cell r="B74">
            <v>136.42499750000002</v>
          </cell>
          <cell r="C74">
            <v>137.39999749999998</v>
          </cell>
          <cell r="D74">
            <v>133.925005</v>
          </cell>
          <cell r="E74">
            <v>129.27499749999998</v>
          </cell>
          <cell r="F74">
            <v>124.7</v>
          </cell>
          <cell r="G74">
            <v>119.65</v>
          </cell>
          <cell r="H74">
            <v>115.125</v>
          </cell>
          <cell r="I74">
            <v>115.95</v>
          </cell>
          <cell r="J74">
            <v>126.97499999999999</v>
          </cell>
          <cell r="K74">
            <v>132.70000000000002</v>
          </cell>
          <cell r="L74">
            <v>143.875</v>
          </cell>
          <cell r="M74">
            <v>172.375</v>
          </cell>
          <cell r="N74">
            <v>207.9749975</v>
          </cell>
          <cell r="O74">
            <v>246.875</v>
          </cell>
          <cell r="P74">
            <v>314.85000500000001</v>
          </cell>
          <cell r="Q74">
            <v>374.94999499999994</v>
          </cell>
          <cell r="R74">
            <v>374.12499750000001</v>
          </cell>
          <cell r="S74">
            <v>338.77500250000003</v>
          </cell>
          <cell r="T74">
            <v>221.9749975</v>
          </cell>
          <cell r="U74">
            <v>180.49500250000003</v>
          </cell>
          <cell r="V74">
            <v>183.58999749999998</v>
          </cell>
          <cell r="W74">
            <v>167.0999975</v>
          </cell>
        </row>
        <row r="75">
          <cell r="B75">
            <v>69.350000499999993</v>
          </cell>
          <cell r="C75">
            <v>72.5</v>
          </cell>
          <cell r="D75">
            <v>76.424999249999999</v>
          </cell>
          <cell r="E75">
            <v>84.375000249999999</v>
          </cell>
          <cell r="F75">
            <v>98.450000250000002</v>
          </cell>
          <cell r="G75">
            <v>112.64999999999999</v>
          </cell>
          <cell r="H75">
            <v>122.575</v>
          </cell>
          <cell r="I75">
            <v>128.35</v>
          </cell>
          <cell r="J75">
            <v>132.97500250000002</v>
          </cell>
          <cell r="K75">
            <v>137.72500500000001</v>
          </cell>
          <cell r="L75">
            <v>141.27499749999998</v>
          </cell>
          <cell r="M75">
            <v>147.57499999999999</v>
          </cell>
          <cell r="N75">
            <v>148.5</v>
          </cell>
          <cell r="O75">
            <v>150.23333333333332</v>
          </cell>
          <cell r="P75">
            <v>157.625</v>
          </cell>
          <cell r="Q75">
            <v>172.64999499999999</v>
          </cell>
          <cell r="R75">
            <v>203.82500250000001</v>
          </cell>
          <cell r="S75">
            <v>231.72500499999998</v>
          </cell>
          <cell r="T75">
            <v>228.87499749999998</v>
          </cell>
          <cell r="U75">
            <v>218.32499999999999</v>
          </cell>
          <cell r="V75">
            <v>206.47500250000002</v>
          </cell>
          <cell r="W75">
            <v>187.20000333333334</v>
          </cell>
        </row>
        <row r="76">
          <cell r="B76">
            <v>63.474999249999996</v>
          </cell>
          <cell r="C76">
            <v>64.500000999999997</v>
          </cell>
          <cell r="D76">
            <v>70.149999500000007</v>
          </cell>
          <cell r="E76">
            <v>76.600000249999994</v>
          </cell>
          <cell r="F76">
            <v>78.050001250000008</v>
          </cell>
          <cell r="G76">
            <v>80.375</v>
          </cell>
          <cell r="H76">
            <v>84.774999250000008</v>
          </cell>
          <cell r="I76">
            <v>86.725000249999994</v>
          </cell>
          <cell r="J76">
            <v>88.399997500000012</v>
          </cell>
          <cell r="K76">
            <v>90.799999249999999</v>
          </cell>
          <cell r="L76">
            <v>95.424999250000013</v>
          </cell>
          <cell r="M76">
            <v>103.47499999999999</v>
          </cell>
          <cell r="N76">
            <v>109.77499999999999</v>
          </cell>
          <cell r="O76">
            <v>117.1</v>
          </cell>
          <cell r="P76">
            <v>121.875</v>
          </cell>
          <cell r="Q76">
            <v>133.25000249999999</v>
          </cell>
          <cell r="R76">
            <v>141.29999750000002</v>
          </cell>
          <cell r="S76">
            <v>152.9</v>
          </cell>
          <cell r="T76">
            <v>151.42499750000002</v>
          </cell>
          <cell r="U76">
            <v>148.72500250000002</v>
          </cell>
          <cell r="V76">
            <v>150.77499749999998</v>
          </cell>
          <cell r="W76">
            <v>152.07499749999999</v>
          </cell>
        </row>
        <row r="77">
          <cell r="B77">
            <v>182.95000249999998</v>
          </cell>
          <cell r="C77">
            <v>186.82499999999999</v>
          </cell>
          <cell r="D77">
            <v>183.07500250000001</v>
          </cell>
          <cell r="E77">
            <v>176.85000250000002</v>
          </cell>
          <cell r="F77">
            <v>175.52499749999998</v>
          </cell>
          <cell r="G77">
            <v>171.55</v>
          </cell>
          <cell r="H77">
            <v>174.42500250000001</v>
          </cell>
          <cell r="I77">
            <v>184.824995</v>
          </cell>
          <cell r="J77">
            <v>206</v>
          </cell>
          <cell r="K77">
            <v>230.77500249999997</v>
          </cell>
          <cell r="L77">
            <v>268.324995</v>
          </cell>
          <cell r="M77">
            <v>298.67500250000001</v>
          </cell>
          <cell r="N77">
            <v>361.44999749999999</v>
          </cell>
          <cell r="O77">
            <v>422.32500500000003</v>
          </cell>
          <cell r="P77">
            <v>547.72500500000001</v>
          </cell>
          <cell r="Q77">
            <v>603.02499499999999</v>
          </cell>
          <cell r="R77">
            <v>600.52499499999999</v>
          </cell>
          <cell r="S77">
            <v>580.375</v>
          </cell>
          <cell r="T77">
            <v>409.62499749999995</v>
          </cell>
          <cell r="U77">
            <v>358.72750250000001</v>
          </cell>
          <cell r="V77">
            <v>385.15499999999997</v>
          </cell>
          <cell r="W77">
            <v>370.47499249999998</v>
          </cell>
        </row>
        <row r="78">
          <cell r="B78">
            <v>258.80000749999999</v>
          </cell>
          <cell r="C78">
            <v>259.07500000000005</v>
          </cell>
          <cell r="D78">
            <v>254.8</v>
          </cell>
          <cell r="E78">
            <v>250.40000500000002</v>
          </cell>
          <cell r="F78">
            <v>254.89999</v>
          </cell>
          <cell r="G78">
            <v>253.799995</v>
          </cell>
          <cell r="H78">
            <v>265.52499749999998</v>
          </cell>
          <cell r="I78">
            <v>287.3500075</v>
          </cell>
          <cell r="J78">
            <v>320.02499999999998</v>
          </cell>
          <cell r="K78">
            <v>358.625</v>
          </cell>
          <cell r="L78">
            <v>451.625</v>
          </cell>
          <cell r="M78">
            <v>476.39999499999999</v>
          </cell>
          <cell r="N78">
            <v>517.52500750000002</v>
          </cell>
          <cell r="O78">
            <v>552.625</v>
          </cell>
          <cell r="P78">
            <v>637.69999749999999</v>
          </cell>
          <cell r="Q78">
            <v>713.42501500000003</v>
          </cell>
          <cell r="R78">
            <v>754.09999249999998</v>
          </cell>
          <cell r="S78">
            <v>798.97500500000001</v>
          </cell>
          <cell r="T78">
            <v>622.35001250000005</v>
          </cell>
          <cell r="U78">
            <v>491.07498999999996</v>
          </cell>
          <cell r="V78">
            <v>524.02500250000003</v>
          </cell>
          <cell r="W78">
            <v>483.324995</v>
          </cell>
        </row>
        <row r="79">
          <cell r="Q79">
            <v>744.16666666666663</v>
          </cell>
          <cell r="R79">
            <v>772.25</v>
          </cell>
          <cell r="S79">
            <v>836.52499499999999</v>
          </cell>
          <cell r="T79">
            <v>677.5</v>
          </cell>
          <cell r="U79">
            <v>525.25</v>
          </cell>
          <cell r="V79">
            <v>596.25</v>
          </cell>
          <cell r="W79">
            <v>570.375</v>
          </cell>
        </row>
        <row r="80">
          <cell r="B80">
            <v>123.05000249999999</v>
          </cell>
          <cell r="C80">
            <v>123.62500249999999</v>
          </cell>
          <cell r="D80">
            <v>126.05</v>
          </cell>
          <cell r="E80">
            <v>129.72499999999999</v>
          </cell>
          <cell r="F80">
            <v>134.9749975</v>
          </cell>
          <cell r="G80">
            <v>137.5</v>
          </cell>
          <cell r="H80">
            <v>142.37499750000001</v>
          </cell>
          <cell r="I80">
            <v>146.53332666666668</v>
          </cell>
          <cell r="J80">
            <v>168.47500500000001</v>
          </cell>
          <cell r="K80">
            <v>187.77500000000001</v>
          </cell>
          <cell r="L80">
            <v>199.9000025</v>
          </cell>
          <cell r="M80">
            <v>221.66666333333333</v>
          </cell>
          <cell r="N80">
            <v>228.04999750000002</v>
          </cell>
          <cell r="O80">
            <v>236.64999499999999</v>
          </cell>
          <cell r="P80">
            <v>272.92499499999997</v>
          </cell>
          <cell r="Q80">
            <v>315.27499499999999</v>
          </cell>
          <cell r="R80">
            <v>361.72499749999997</v>
          </cell>
          <cell r="S80">
            <v>386.92500250000001</v>
          </cell>
          <cell r="T80">
            <v>357.17499499999997</v>
          </cell>
          <cell r="U80">
            <v>317.64999999999998</v>
          </cell>
          <cell r="V80">
            <v>302.90000250000003</v>
          </cell>
          <cell r="W80">
            <v>282.02501000000001</v>
          </cell>
        </row>
        <row r="81">
          <cell r="B81">
            <v>127.07499749999999</v>
          </cell>
          <cell r="C81">
            <v>122.375</v>
          </cell>
          <cell r="D81">
            <v>120.64999999999999</v>
          </cell>
          <cell r="E81">
            <v>117.05000000000001</v>
          </cell>
          <cell r="F81">
            <v>112.175</v>
          </cell>
          <cell r="G81">
            <v>111.47499999999999</v>
          </cell>
          <cell r="H81">
            <v>110.95</v>
          </cell>
          <cell r="I81">
            <v>111</v>
          </cell>
          <cell r="J81">
            <v>115.375</v>
          </cell>
          <cell r="K81">
            <v>119.5249975</v>
          </cell>
          <cell r="L81">
            <v>124.97499999999999</v>
          </cell>
          <cell r="M81">
            <v>132.39999749999998</v>
          </cell>
          <cell r="N81">
            <v>146.10000250000002</v>
          </cell>
          <cell r="O81">
            <v>160.69999999999999</v>
          </cell>
          <cell r="P81">
            <v>179.5</v>
          </cell>
          <cell r="Q81">
            <v>200.6500025</v>
          </cell>
          <cell r="R81">
            <v>208.27500000000001</v>
          </cell>
          <cell r="S81">
            <v>211.324995</v>
          </cell>
          <cell r="T81">
            <v>200</v>
          </cell>
          <cell r="U81">
            <v>184.45</v>
          </cell>
          <cell r="V81">
            <v>190.27499750000001</v>
          </cell>
          <cell r="W81">
            <v>181.125</v>
          </cell>
        </row>
        <row r="82">
          <cell r="B82">
            <v>80.125</v>
          </cell>
          <cell r="C82">
            <v>80.650001750000001</v>
          </cell>
          <cell r="D82">
            <v>84.499998000000005</v>
          </cell>
          <cell r="E82">
            <v>85.824998499999992</v>
          </cell>
          <cell r="F82">
            <v>86.024999500000007</v>
          </cell>
          <cell r="G82">
            <v>88.600000499999993</v>
          </cell>
          <cell r="H82">
            <v>92.450000750000015</v>
          </cell>
          <cell r="I82">
            <v>98.20000125</v>
          </cell>
          <cell r="J82">
            <v>102.59999925</v>
          </cell>
          <cell r="K82">
            <v>104.9</v>
          </cell>
          <cell r="L82">
            <v>109.9</v>
          </cell>
          <cell r="M82">
            <v>114.15</v>
          </cell>
          <cell r="N82">
            <v>120.66666666666667</v>
          </cell>
          <cell r="O82">
            <v>121.125</v>
          </cell>
          <cell r="P82">
            <v>127.25000249999999</v>
          </cell>
          <cell r="Q82">
            <v>140.64999499999999</v>
          </cell>
          <cell r="R82">
            <v>147.02499749999998</v>
          </cell>
          <cell r="S82">
            <v>143.89999749999998</v>
          </cell>
          <cell r="T82">
            <v>131.60000249999999</v>
          </cell>
          <cell r="U82">
            <v>124.225005</v>
          </cell>
          <cell r="V82">
            <v>128.47499500000001</v>
          </cell>
          <cell r="W82">
            <v>119.85000249999999</v>
          </cell>
        </row>
        <row r="83">
          <cell r="B83">
            <v>80.549999</v>
          </cell>
          <cell r="C83">
            <v>77.924999249999999</v>
          </cell>
          <cell r="D83">
            <v>79.975000749999992</v>
          </cell>
          <cell r="E83">
            <v>84.649999500000007</v>
          </cell>
          <cell r="F83">
            <v>82.950000750000001</v>
          </cell>
          <cell r="G83">
            <v>81.474998499999998</v>
          </cell>
          <cell r="H83">
            <v>78.924999249999999</v>
          </cell>
          <cell r="I83">
            <v>79.050001000000009</v>
          </cell>
          <cell r="J83">
            <v>79.524999750000006</v>
          </cell>
          <cell r="K83">
            <v>81.774999750000006</v>
          </cell>
          <cell r="L83">
            <v>80.125000249999999</v>
          </cell>
          <cell r="M83">
            <v>85.024999750000006</v>
          </cell>
          <cell r="N83">
            <v>85.449998749999992</v>
          </cell>
          <cell r="O83">
            <v>93.775000250000005</v>
          </cell>
          <cell r="P83">
            <v>97.77499825000001</v>
          </cell>
          <cell r="Q83">
            <v>108.5000005</v>
          </cell>
          <cell r="R83">
            <v>115.19999999999999</v>
          </cell>
          <cell r="S83">
            <v>120.325</v>
          </cell>
          <cell r="T83">
            <v>118.82499999999999</v>
          </cell>
          <cell r="U83">
            <v>119.85</v>
          </cell>
          <cell r="V83">
            <v>124.22499999999999</v>
          </cell>
          <cell r="W83">
            <v>121.6</v>
          </cell>
        </row>
        <row r="84">
          <cell r="B84">
            <v>71.650002000000001</v>
          </cell>
          <cell r="C84">
            <v>71.175001000000009</v>
          </cell>
          <cell r="D84">
            <v>72.524999500000007</v>
          </cell>
          <cell r="E84">
            <v>74.649999750000006</v>
          </cell>
          <cell r="F84">
            <v>76.200000750000001</v>
          </cell>
          <cell r="G84">
            <v>77.75</v>
          </cell>
          <cell r="H84">
            <v>81.325000500000002</v>
          </cell>
          <cell r="I84">
            <v>83.725000249999994</v>
          </cell>
          <cell r="J84">
            <v>89.25</v>
          </cell>
          <cell r="K84">
            <v>95.400000750000004</v>
          </cell>
          <cell r="L84">
            <v>111.75</v>
          </cell>
          <cell r="M84">
            <v>123.9</v>
          </cell>
          <cell r="N84">
            <v>134.7249975</v>
          </cell>
          <cell r="O84">
            <v>143.4000025</v>
          </cell>
          <cell r="P84">
            <v>160.75</v>
          </cell>
          <cell r="Q84">
            <v>201.07499999999999</v>
          </cell>
          <cell r="R84">
            <v>225.65000250000003</v>
          </cell>
          <cell r="S84">
            <v>211.45000250000001</v>
          </cell>
          <cell r="T84">
            <v>172.5999975</v>
          </cell>
          <cell r="U84">
            <v>138.449995</v>
          </cell>
          <cell r="V84">
            <v>134.54999750000002</v>
          </cell>
          <cell r="W84">
            <v>129.37500249999999</v>
          </cell>
        </row>
        <row r="85">
          <cell r="B85">
            <v>62.525000499999997</v>
          </cell>
          <cell r="C85">
            <v>68.649999250000008</v>
          </cell>
          <cell r="D85">
            <v>71.574998749999992</v>
          </cell>
          <cell r="E85">
            <v>71.75</v>
          </cell>
          <cell r="F85">
            <v>73.375</v>
          </cell>
          <cell r="G85">
            <v>76.875</v>
          </cell>
          <cell r="H85">
            <v>84.175001000000009</v>
          </cell>
          <cell r="I85">
            <v>86.675001249999994</v>
          </cell>
          <cell r="J85">
            <v>94.049998999999985</v>
          </cell>
          <cell r="K85">
            <v>98.550000250000011</v>
          </cell>
          <cell r="L85">
            <v>103.42500050000001</v>
          </cell>
          <cell r="M85">
            <v>111.40000000000002</v>
          </cell>
          <cell r="N85">
            <v>108.55000000000001</v>
          </cell>
          <cell r="O85">
            <v>110.7</v>
          </cell>
          <cell r="P85">
            <v>112.97499999999999</v>
          </cell>
          <cell r="Q85">
            <v>116.22499999999999</v>
          </cell>
          <cell r="R85">
            <v>109.75000000000001</v>
          </cell>
          <cell r="S85">
            <v>106.25</v>
          </cell>
          <cell r="T85">
            <v>92.449998749999992</v>
          </cell>
          <cell r="U85">
            <v>81.850000249999994</v>
          </cell>
          <cell r="V85">
            <v>79.649999750000006</v>
          </cell>
          <cell r="W85">
            <v>74.5</v>
          </cell>
        </row>
        <row r="86">
          <cell r="D86">
            <v>82.200001</v>
          </cell>
          <cell r="E86">
            <v>88.225000500000007</v>
          </cell>
          <cell r="F86">
            <v>95.550001000000009</v>
          </cell>
          <cell r="G86">
            <v>100.575001</v>
          </cell>
          <cell r="H86">
            <v>105.22499999999999</v>
          </cell>
          <cell r="I86">
            <v>106.94999999999999</v>
          </cell>
          <cell r="J86">
            <v>112.27500000000001</v>
          </cell>
          <cell r="K86">
            <v>117.125</v>
          </cell>
          <cell r="L86">
            <v>120.825</v>
          </cell>
          <cell r="M86">
            <v>127.2749975</v>
          </cell>
          <cell r="N86">
            <v>145.925005</v>
          </cell>
          <cell r="O86">
            <v>156.35</v>
          </cell>
          <cell r="P86">
            <v>176.77499999999998</v>
          </cell>
          <cell r="Q86">
            <v>229</v>
          </cell>
          <cell r="R86">
            <v>244.75</v>
          </cell>
          <cell r="S86">
            <v>243.27499999999998</v>
          </cell>
          <cell r="T86">
            <v>205.52499500000002</v>
          </cell>
          <cell r="U86">
            <v>172.8</v>
          </cell>
          <cell r="V86">
            <v>152.85000250000002</v>
          </cell>
          <cell r="W86">
            <v>133.80000250000001</v>
          </cell>
        </row>
        <row r="87">
          <cell r="B87">
            <v>63.75</v>
          </cell>
          <cell r="C87">
            <v>65.350000249999994</v>
          </cell>
          <cell r="D87">
            <v>68.274999500000007</v>
          </cell>
          <cell r="E87">
            <v>71.149999750000006</v>
          </cell>
          <cell r="F87">
            <v>74.050001000000009</v>
          </cell>
          <cell r="G87">
            <v>77.925001250000008</v>
          </cell>
          <cell r="H87">
            <v>81.850000249999994</v>
          </cell>
          <cell r="I87">
            <v>84.374998000000005</v>
          </cell>
          <cell r="J87">
            <v>89.024997500000012</v>
          </cell>
          <cell r="K87">
            <v>92.625</v>
          </cell>
          <cell r="L87">
            <v>98.924999499999984</v>
          </cell>
          <cell r="M87">
            <v>104.55</v>
          </cell>
          <cell r="N87">
            <v>106.875</v>
          </cell>
          <cell r="O87">
            <v>110.72500000000001</v>
          </cell>
          <cell r="P87">
            <v>113.125</v>
          </cell>
          <cell r="Q87">
            <v>119.925</v>
          </cell>
          <cell r="R87">
            <v>125.7</v>
          </cell>
          <cell r="S87">
            <v>129.33333333333334</v>
          </cell>
          <cell r="T87">
            <v>131.33333333333334</v>
          </cell>
          <cell r="U87">
            <v>130.10000500000001</v>
          </cell>
          <cell r="V87">
            <v>131.60000250000002</v>
          </cell>
          <cell r="W87">
            <v>128.72500249999999</v>
          </cell>
        </row>
        <row r="88">
          <cell r="C88">
            <v>90.849998499999998</v>
          </cell>
          <cell r="D88">
            <v>94.474998499999998</v>
          </cell>
          <cell r="E88">
            <v>98.649999250000008</v>
          </cell>
          <cell r="F88">
            <v>103.72499999999999</v>
          </cell>
          <cell r="G88">
            <v>103.5250005</v>
          </cell>
          <cell r="H88">
            <v>108.52500000000001</v>
          </cell>
          <cell r="I88">
            <v>105.89999999999999</v>
          </cell>
          <cell r="J88">
            <v>109.19999999999999</v>
          </cell>
          <cell r="K88">
            <v>113.25</v>
          </cell>
          <cell r="L88">
            <v>115.2</v>
          </cell>
          <cell r="M88">
            <v>120.45</v>
          </cell>
          <cell r="O88">
            <v>138.63333666666668</v>
          </cell>
          <cell r="P88">
            <v>161.85</v>
          </cell>
          <cell r="Q88">
            <v>198.7750025</v>
          </cell>
          <cell r="R88">
            <v>234.35000250000002</v>
          </cell>
          <cell r="S88">
            <v>243.92499750000002</v>
          </cell>
          <cell r="T88">
            <v>220.5</v>
          </cell>
          <cell r="U88">
            <v>208</v>
          </cell>
          <cell r="V88">
            <v>204.9749975</v>
          </cell>
          <cell r="W88">
            <v>182.4749975</v>
          </cell>
        </row>
        <row r="89">
          <cell r="B89">
            <v>144.77500000000001</v>
          </cell>
          <cell r="C89">
            <v>150.72499500000001</v>
          </cell>
          <cell r="D89">
            <v>152.175005</v>
          </cell>
          <cell r="E89">
            <v>152.57499749999999</v>
          </cell>
          <cell r="F89">
            <v>152.25</v>
          </cell>
          <cell r="G89">
            <v>150.67500000000001</v>
          </cell>
          <cell r="H89">
            <v>154.95000249999998</v>
          </cell>
          <cell r="I89">
            <v>160.875</v>
          </cell>
          <cell r="J89">
            <v>165.5</v>
          </cell>
          <cell r="K89">
            <v>169.92499750000002</v>
          </cell>
          <cell r="L89">
            <v>175.57500250000001</v>
          </cell>
          <cell r="M89">
            <v>203.25</v>
          </cell>
          <cell r="N89">
            <v>240.74999499999998</v>
          </cell>
          <cell r="O89">
            <v>275.72499500000004</v>
          </cell>
          <cell r="P89">
            <v>334.94999749999999</v>
          </cell>
          <cell r="Q89">
            <v>421.02499999999998</v>
          </cell>
          <cell r="R89">
            <v>430.125</v>
          </cell>
          <cell r="S89">
            <v>427.79999750000002</v>
          </cell>
          <cell r="T89">
            <v>342.92500500000006</v>
          </cell>
          <cell r="U89">
            <v>307.37500499999999</v>
          </cell>
          <cell r="V89">
            <v>323.550005</v>
          </cell>
          <cell r="W89">
            <v>322.47498999999999</v>
          </cell>
        </row>
        <row r="90">
          <cell r="B90">
            <v>62.674999</v>
          </cell>
          <cell r="C90">
            <v>65.824999750000003</v>
          </cell>
          <cell r="D90">
            <v>68.600000499999993</v>
          </cell>
          <cell r="E90">
            <v>71.200000500000002</v>
          </cell>
          <cell r="F90">
            <v>73.550001250000008</v>
          </cell>
          <cell r="G90">
            <v>76.425001250000008</v>
          </cell>
          <cell r="H90">
            <v>80.800001500000008</v>
          </cell>
          <cell r="I90">
            <v>83.024999500000007</v>
          </cell>
          <cell r="J90">
            <v>88.924999499999998</v>
          </cell>
          <cell r="K90">
            <v>91.300001249999994</v>
          </cell>
          <cell r="L90">
            <v>90.725000249999994</v>
          </cell>
          <cell r="M90">
            <v>95</v>
          </cell>
          <cell r="N90">
            <v>98.199998749999992</v>
          </cell>
          <cell r="O90">
            <v>99.924999999999997</v>
          </cell>
          <cell r="P90">
            <v>102.9999995</v>
          </cell>
          <cell r="Q90">
            <v>107.82499999999999</v>
          </cell>
          <cell r="R90">
            <v>110.30000000000001</v>
          </cell>
          <cell r="S90">
            <v>114.92500000000001</v>
          </cell>
          <cell r="T90">
            <v>120.5</v>
          </cell>
          <cell r="U90">
            <v>117.24999999999999</v>
          </cell>
          <cell r="V90">
            <v>117.45</v>
          </cell>
          <cell r="W90">
            <v>114.2</v>
          </cell>
        </row>
        <row r="91">
          <cell r="B91">
            <v>138.050005</v>
          </cell>
          <cell r="C91">
            <v>129.75</v>
          </cell>
          <cell r="D91">
            <v>127.75</v>
          </cell>
          <cell r="E91">
            <v>128.27499749999998</v>
          </cell>
          <cell r="F91">
            <v>130.55000000000001</v>
          </cell>
          <cell r="G91">
            <v>129.87499750000001</v>
          </cell>
          <cell r="H91">
            <v>129.67499750000002</v>
          </cell>
          <cell r="I91">
            <v>135.02499499999999</v>
          </cell>
          <cell r="J91">
            <v>138.60000250000002</v>
          </cell>
          <cell r="L91">
            <v>134.96666333333334</v>
          </cell>
          <cell r="M91">
            <v>153</v>
          </cell>
          <cell r="N91">
            <v>223.5999975</v>
          </cell>
          <cell r="O91">
            <v>250.85000250000002</v>
          </cell>
          <cell r="P91">
            <v>274.02499999999998</v>
          </cell>
          <cell r="Q91">
            <v>289.42499750000002</v>
          </cell>
          <cell r="R91">
            <v>281.12500499999999</v>
          </cell>
          <cell r="S91">
            <v>272.87499249999996</v>
          </cell>
          <cell r="T91">
            <v>237.07499999999999</v>
          </cell>
          <cell r="U91">
            <v>214.00000499999999</v>
          </cell>
          <cell r="V91">
            <v>221.74999750000001</v>
          </cell>
          <cell r="W91">
            <v>208.17500000000001</v>
          </cell>
        </row>
        <row r="92">
          <cell r="B92">
            <v>50.875</v>
          </cell>
          <cell r="C92">
            <v>54.550000250000004</v>
          </cell>
          <cell r="D92">
            <v>57.224999250000003</v>
          </cell>
          <cell r="E92">
            <v>60.949999750000003</v>
          </cell>
          <cell r="F92">
            <v>63.375002250000001</v>
          </cell>
          <cell r="G92">
            <v>64.700001</v>
          </cell>
          <cell r="H92">
            <v>69.650001750000001</v>
          </cell>
          <cell r="I92">
            <v>73.725000249999994</v>
          </cell>
          <cell r="J92">
            <v>76.900001500000002</v>
          </cell>
          <cell r="K92">
            <v>75</v>
          </cell>
          <cell r="L92">
            <v>73.600002500000002</v>
          </cell>
          <cell r="M92">
            <v>81.600002500000002</v>
          </cell>
          <cell r="N92">
            <v>84.400002000000001</v>
          </cell>
          <cell r="O92">
            <v>85.725000250000008</v>
          </cell>
          <cell r="P92">
            <v>85.949998750000006</v>
          </cell>
          <cell r="Q92">
            <v>85.549999499999998</v>
          </cell>
          <cell r="R92">
            <v>81.449998749999992</v>
          </cell>
          <cell r="S92">
            <v>77.299999</v>
          </cell>
          <cell r="T92">
            <v>68.849999499999996</v>
          </cell>
          <cell r="U92">
            <v>66.524998749999995</v>
          </cell>
          <cell r="V92">
            <v>67.324998749999992</v>
          </cell>
          <cell r="W92">
            <v>71.166666333333339</v>
          </cell>
        </row>
      </sheetData>
      <sheetData sheetId="1">
        <row r="6">
          <cell r="B6">
            <v>773.32198692410373</v>
          </cell>
          <cell r="C6">
            <v>755.40113703060274</v>
          </cell>
          <cell r="D6">
            <v>719.61160672609435</v>
          </cell>
          <cell r="E6">
            <v>668.57968979537577</v>
          </cell>
          <cell r="F6">
            <v>771.47038548633702</v>
          </cell>
          <cell r="G6">
            <v>759.97780736731033</v>
          </cell>
          <cell r="H6">
            <v>790.36742048638507</v>
          </cell>
          <cell r="I6">
            <v>813.71584793285547</v>
          </cell>
          <cell r="J6">
            <v>803.30374575740211</v>
          </cell>
          <cell r="K6">
            <v>877.55972437096</v>
          </cell>
          <cell r="L6">
            <v>968.75065175938278</v>
          </cell>
          <cell r="M6">
            <v>922.30325203810901</v>
          </cell>
          <cell r="N6">
            <v>949.52846834348452</v>
          </cell>
          <cell r="O6">
            <v>944.63044899672298</v>
          </cell>
          <cell r="P6">
            <v>1022.5580873053339</v>
          </cell>
          <cell r="Q6">
            <v>1156.6556609131258</v>
          </cell>
          <cell r="R6">
            <v>1250.3649178351384</v>
          </cell>
          <cell r="S6">
            <v>1206.0158907441212</v>
          </cell>
          <cell r="T6">
            <v>1059.793840630844</v>
          </cell>
          <cell r="U6">
            <v>837.21498220644787</v>
          </cell>
          <cell r="V6">
            <v>806.11726057944702</v>
          </cell>
          <cell r="W6">
            <v>752.89584976582478</v>
          </cell>
        </row>
        <row r="7">
          <cell r="B7">
            <v>538.37105368338939</v>
          </cell>
          <cell r="C7">
            <v>529.20653619228142</v>
          </cell>
          <cell r="D7">
            <v>542.36315908665426</v>
          </cell>
          <cell r="E7">
            <v>511.08516857009039</v>
          </cell>
          <cell r="F7">
            <v>578.30336997762595</v>
          </cell>
          <cell r="G7">
            <v>600.07743037473972</v>
          </cell>
          <cell r="H7">
            <v>635.86071459061156</v>
          </cell>
          <cell r="I7">
            <v>668.82929576618346</v>
          </cell>
          <cell r="J7">
            <v>630.11509156300644</v>
          </cell>
          <cell r="K7">
            <v>651.24912494772718</v>
          </cell>
          <cell r="L7">
            <v>727.06063470229014</v>
          </cell>
          <cell r="M7">
            <v>675.75875812759818</v>
          </cell>
          <cell r="N7">
            <v>655.05894920736557</v>
          </cell>
          <cell r="O7">
            <v>614.83100514471266</v>
          </cell>
          <cell r="P7">
            <v>610.59130110987064</v>
          </cell>
          <cell r="Q7">
            <v>635.43596455061459</v>
          </cell>
          <cell r="R7">
            <v>640.18682350484573</v>
          </cell>
          <cell r="S7">
            <v>657.63607894960035</v>
          </cell>
          <cell r="T7">
            <v>537.27258480777004</v>
          </cell>
          <cell r="U7">
            <v>425.88761895657001</v>
          </cell>
          <cell r="V7">
            <v>496.53839708674985</v>
          </cell>
          <cell r="W7">
            <v>408.12553503719687</v>
          </cell>
        </row>
        <row r="8">
          <cell r="B8">
            <v>849.97549595285579</v>
          </cell>
          <cell r="C8">
            <v>812.96785548332343</v>
          </cell>
          <cell r="D8">
            <v>761.05520711346105</v>
          </cell>
          <cell r="E8">
            <v>690.96861705180311</v>
          </cell>
          <cell r="F8">
            <v>766.16641965132351</v>
          </cell>
          <cell r="G8">
            <v>694.21365096802413</v>
          </cell>
          <cell r="H8">
            <v>692.11867037053912</v>
          </cell>
          <cell r="I8">
            <v>666.92289397302568</v>
          </cell>
          <cell r="J8">
            <v>633.38841372277454</v>
          </cell>
          <cell r="K8">
            <v>661.41511435533994</v>
          </cell>
          <cell r="L8">
            <v>731.70532960798596</v>
          </cell>
          <cell r="M8">
            <v>721.27696069582214</v>
          </cell>
          <cell r="N8">
            <v>715.89503212917441</v>
          </cell>
          <cell r="O8">
            <v>747.41303329351831</v>
          </cell>
          <cell r="P8">
            <v>847.40259377503878</v>
          </cell>
          <cell r="Q8">
            <v>970.77168447517636</v>
          </cell>
          <cell r="R8">
            <v>1097.7851515734499</v>
          </cell>
          <cell r="S8">
            <v>1116.6243879896444</v>
          </cell>
          <cell r="T8">
            <v>1070.6205192532298</v>
          </cell>
          <cell r="U8">
            <v>912.44297083325978</v>
          </cell>
          <cell r="V8">
            <v>912.18532118200585</v>
          </cell>
          <cell r="W8">
            <v>871.55940811717926</v>
          </cell>
        </row>
        <row r="9">
          <cell r="B9">
            <v>672.91391447994522</v>
          </cell>
          <cell r="C9">
            <v>640.82301714349501</v>
          </cell>
          <cell r="D9">
            <v>629.36044672762216</v>
          </cell>
          <cell r="E9">
            <v>618.70642733987631</v>
          </cell>
          <cell r="F9">
            <v>750.42561781837981</v>
          </cell>
          <cell r="G9">
            <v>763.58581594781958</v>
          </cell>
          <cell r="H9">
            <v>792.31294029065941</v>
          </cell>
          <cell r="I9">
            <v>803.70720674541394</v>
          </cell>
          <cell r="J9">
            <v>761.7920315387845</v>
          </cell>
          <cell r="K9">
            <v>813.27941848883393</v>
          </cell>
          <cell r="L9">
            <v>863.41557340024951</v>
          </cell>
          <cell r="M9">
            <v>807.28897211411731</v>
          </cell>
          <cell r="N9">
            <v>761.87909930573358</v>
          </cell>
          <cell r="O9">
            <v>731.51910876720103</v>
          </cell>
          <cell r="P9">
            <v>769.57043443703787</v>
          </cell>
          <cell r="Q9">
            <v>885.94053290443355</v>
          </cell>
          <cell r="R9">
            <v>1036.7814194880009</v>
          </cell>
          <cell r="S9">
            <v>1110.7488761667362</v>
          </cell>
          <cell r="T9">
            <v>1038.0051908415687</v>
          </cell>
          <cell r="U9">
            <v>878.34774255586547</v>
          </cell>
          <cell r="V9">
            <v>835.37339597641653</v>
          </cell>
          <cell r="W9">
            <v>760.71606085609312</v>
          </cell>
        </row>
        <row r="10">
          <cell r="L10">
            <v>761.56408257317219</v>
          </cell>
          <cell r="M10">
            <v>734.41006651281702</v>
          </cell>
          <cell r="N10">
            <v>914.25493630380504</v>
          </cell>
          <cell r="O10">
            <v>963.83569278784444</v>
          </cell>
          <cell r="P10">
            <v>1088.1917329700259</v>
          </cell>
          <cell r="Q10">
            <v>1282.1738735065464</v>
          </cell>
          <cell r="R10">
            <v>1404.3534755012365</v>
          </cell>
          <cell r="S10">
            <v>1450.5485008781977</v>
          </cell>
          <cell r="T10">
            <v>1315.302817346708</v>
          </cell>
          <cell r="U10">
            <v>1080.4926933320892</v>
          </cell>
          <cell r="V10">
            <v>1047.1598422564709</v>
          </cell>
          <cell r="W10">
            <v>841.86517584880551</v>
          </cell>
        </row>
        <row r="11">
          <cell r="B11">
            <v>688.48414808382086</v>
          </cell>
          <cell r="C11">
            <v>646.93137292276572</v>
          </cell>
          <cell r="D11">
            <v>613.26254328006667</v>
          </cell>
          <cell r="E11">
            <v>565.59063059206687</v>
          </cell>
          <cell r="F11">
            <v>640.41110579274141</v>
          </cell>
          <cell r="G11">
            <v>637.30552547001207</v>
          </cell>
          <cell r="H11">
            <v>653.37039607161228</v>
          </cell>
          <cell r="I11">
            <v>686.30464553679633</v>
          </cell>
          <cell r="J11">
            <v>690.07645356970352</v>
          </cell>
          <cell r="K11">
            <v>771.36423362509743</v>
          </cell>
          <cell r="L11">
            <v>868.06028489414132</v>
          </cell>
          <cell r="M11">
            <v>828.5805267500939</v>
          </cell>
          <cell r="N11">
            <v>835.28226038979415</v>
          </cell>
          <cell r="O11">
            <v>805.55837760466181</v>
          </cell>
          <cell r="P11">
            <v>830.56328124912704</v>
          </cell>
          <cell r="Q11">
            <v>887.40312589882592</v>
          </cell>
          <cell r="R11">
            <v>965.35212381965698</v>
          </cell>
          <cell r="S11">
            <v>958.96516814207678</v>
          </cell>
          <cell r="T11">
            <v>802.25488028158998</v>
          </cell>
          <cell r="U11">
            <v>595.9999867937064</v>
          </cell>
          <cell r="V11">
            <v>530.92309455456643</v>
          </cell>
          <cell r="W11">
            <v>447.0000292496415</v>
          </cell>
        </row>
        <row r="12">
          <cell r="C12">
            <v>564.19078459859452</v>
          </cell>
          <cell r="D12">
            <v>572.33269112095638</v>
          </cell>
          <cell r="E12">
            <v>562.34808394724519</v>
          </cell>
          <cell r="F12">
            <v>658.37615136294892</v>
          </cell>
          <cell r="G12">
            <v>665.18558193392539</v>
          </cell>
          <cell r="H12">
            <v>701.68414274155373</v>
          </cell>
          <cell r="I12">
            <v>750.48683923977455</v>
          </cell>
          <cell r="J12">
            <v>735.90300546695858</v>
          </cell>
          <cell r="K12">
            <v>810.30783631072097</v>
          </cell>
          <cell r="L12">
            <v>978.70356941444493</v>
          </cell>
          <cell r="M12">
            <v>910.06555642363492</v>
          </cell>
          <cell r="N12">
            <v>894.8330739541002</v>
          </cell>
          <cell r="O12">
            <v>827.14770080325923</v>
          </cell>
          <cell r="P12">
            <v>820.88398375053407</v>
          </cell>
          <cell r="Q12">
            <v>870.91559066795537</v>
          </cell>
          <cell r="R12">
            <v>977.7501362549101</v>
          </cell>
          <cell r="S12">
            <v>1029.6110629297314</v>
          </cell>
          <cell r="T12">
            <v>1020.9532281745658</v>
          </cell>
          <cell r="U12">
            <v>907.71092255187466</v>
          </cell>
          <cell r="V12">
            <v>902.62755155277114</v>
          </cell>
          <cell r="W12">
            <v>873.486098375285</v>
          </cell>
        </row>
        <row r="13">
          <cell r="B13">
            <v>710.64179558294188</v>
          </cell>
          <cell r="C13">
            <v>685.24750492888359</v>
          </cell>
          <cell r="D13">
            <v>654.70613852979693</v>
          </cell>
          <cell r="E13">
            <v>601.10409523635076</v>
          </cell>
          <cell r="F13">
            <v>662.48243038371481</v>
          </cell>
          <cell r="G13">
            <v>614.01745040667697</v>
          </cell>
          <cell r="H13">
            <v>615.43276475206517</v>
          </cell>
          <cell r="I13">
            <v>631.65446079960691</v>
          </cell>
          <cell r="J13">
            <v>602.88698091149149</v>
          </cell>
          <cell r="K13">
            <v>670.48630456681019</v>
          </cell>
          <cell r="L13">
            <v>843.34388930559976</v>
          </cell>
          <cell r="M13">
            <v>793.80758986413855</v>
          </cell>
          <cell r="N13">
            <v>863.70099396124954</v>
          </cell>
          <cell r="O13">
            <v>945.95498464962009</v>
          </cell>
          <cell r="P13">
            <v>1138.8422901828035</v>
          </cell>
          <cell r="Q13">
            <v>1387.8804323662828</v>
          </cell>
          <cell r="R13">
            <v>1571.4444906149572</v>
          </cell>
          <cell r="S13">
            <v>1593.3790553575727</v>
          </cell>
          <cell r="T13">
            <v>1475.5373009718544</v>
          </cell>
          <cell r="U13">
            <v>1217.9657958533805</v>
          </cell>
          <cell r="V13">
            <v>1143.4370049572551</v>
          </cell>
          <cell r="W13">
            <v>1036.9176729046137</v>
          </cell>
        </row>
        <row r="14">
          <cell r="B14">
            <v>517.21149060905566</v>
          </cell>
          <cell r="C14">
            <v>511.80693428368886</v>
          </cell>
          <cell r="D14">
            <v>502.8033604294406</v>
          </cell>
          <cell r="E14">
            <v>467.69698396359496</v>
          </cell>
          <cell r="F14">
            <v>529.71219910201728</v>
          </cell>
          <cell r="G14">
            <v>551.86132390795103</v>
          </cell>
          <cell r="H14">
            <v>568.57815793532916</v>
          </cell>
          <cell r="I14">
            <v>585.5830809542914</v>
          </cell>
          <cell r="J14">
            <v>583.54459618345163</v>
          </cell>
          <cell r="K14">
            <v>646.08792248134466</v>
          </cell>
          <cell r="L14">
            <v>723.24534960118297</v>
          </cell>
          <cell r="M14">
            <v>680.23595838021038</v>
          </cell>
          <cell r="N14">
            <v>665.4839117737788</v>
          </cell>
          <cell r="O14">
            <v>642.24807064771892</v>
          </cell>
          <cell r="P14">
            <v>675.16414880596346</v>
          </cell>
          <cell r="Q14">
            <v>765.87382625665646</v>
          </cell>
          <cell r="R14">
            <v>955.91272126415743</v>
          </cell>
          <cell r="S14">
            <v>974.49328354880151</v>
          </cell>
          <cell r="T14">
            <v>896.1760554611526</v>
          </cell>
          <cell r="U14">
            <v>791.35012504144333</v>
          </cell>
          <cell r="V14">
            <v>790.38187729576418</v>
          </cell>
          <cell r="W14">
            <v>738.50206351562895</v>
          </cell>
        </row>
        <row r="15">
          <cell r="B15">
            <v>642.57189524941225</v>
          </cell>
          <cell r="C15">
            <v>636.75076453215036</v>
          </cell>
          <cell r="D15">
            <v>623.36655128105269</v>
          </cell>
          <cell r="E15">
            <v>593.22936909788325</v>
          </cell>
          <cell r="F15">
            <v>685.23816674934142</v>
          </cell>
          <cell r="G15">
            <v>682.56961835636821</v>
          </cell>
          <cell r="H15">
            <v>741.08091877810591</v>
          </cell>
          <cell r="I15">
            <v>753.0287082973183</v>
          </cell>
          <cell r="J15">
            <v>730.24908023288162</v>
          </cell>
          <cell r="K15">
            <v>794.19861685893022</v>
          </cell>
          <cell r="L15">
            <v>832.06391596319588</v>
          </cell>
          <cell r="M15">
            <v>795.15077978792374</v>
          </cell>
          <cell r="N15">
            <v>784.01433663837497</v>
          </cell>
          <cell r="O15">
            <v>725.69130023799642</v>
          </cell>
          <cell r="P15">
            <v>774.60898612027449</v>
          </cell>
          <cell r="Q15">
            <v>834.21745589294983</v>
          </cell>
          <cell r="R15">
            <v>929.84880526260986</v>
          </cell>
          <cell r="S15">
            <v>901.46922505586417</v>
          </cell>
          <cell r="T15">
            <v>823.09618452642212</v>
          </cell>
          <cell r="U15">
            <v>704.10992145253908</v>
          </cell>
          <cell r="V15">
            <v>665.8976272848621</v>
          </cell>
          <cell r="W15">
            <v>630.15213545296081</v>
          </cell>
        </row>
        <row r="16">
          <cell r="B16">
            <v>552.74357839201798</v>
          </cell>
          <cell r="C16">
            <v>568.63324855549502</v>
          </cell>
          <cell r="D16">
            <v>566.68129963086096</v>
          </cell>
          <cell r="E16">
            <v>562.50251350307633</v>
          </cell>
          <cell r="F16">
            <v>679.76311037510061</v>
          </cell>
          <cell r="G16">
            <v>648.45754707157494</v>
          </cell>
          <cell r="H16">
            <v>655.96443058364366</v>
          </cell>
          <cell r="I16">
            <v>649.60640625250483</v>
          </cell>
          <cell r="J16">
            <v>649.15988937572581</v>
          </cell>
          <cell r="K16">
            <v>773.39743213221948</v>
          </cell>
          <cell r="L16">
            <v>833.8886341214868</v>
          </cell>
          <cell r="M16">
            <v>760.67632291880921</v>
          </cell>
          <cell r="N16">
            <v>703.32795396692291</v>
          </cell>
          <cell r="O16">
            <v>686.61868390137647</v>
          </cell>
          <cell r="P16">
            <v>721.66013496358801</v>
          </cell>
          <cell r="Q16">
            <v>832.62187209746003</v>
          </cell>
          <cell r="R16">
            <v>1175.7421550170616</v>
          </cell>
          <cell r="S16">
            <v>1152.5768390192227</v>
          </cell>
          <cell r="T16">
            <v>1002.1419210964382</v>
          </cell>
          <cell r="U16">
            <v>746.45601258153215</v>
          </cell>
          <cell r="V16">
            <v>648.41388103169311</v>
          </cell>
          <cell r="W16">
            <v>542.42954730336942</v>
          </cell>
        </row>
        <row r="17">
          <cell r="B17">
            <v>1276.75983022828</v>
          </cell>
          <cell r="C17">
            <v>1150.7789520810159</v>
          </cell>
          <cell r="D17">
            <v>1075.6498100539263</v>
          </cell>
          <cell r="E17">
            <v>977.5468704934309</v>
          </cell>
          <cell r="F17">
            <v>1129.74473996747</v>
          </cell>
          <cell r="G17">
            <v>1080.4345694725591</v>
          </cell>
          <cell r="H17">
            <v>1126.780187550132</v>
          </cell>
          <cell r="K17">
            <v>1507.2256620381622</v>
          </cell>
          <cell r="L17">
            <v>1831.6686456296638</v>
          </cell>
          <cell r="M17">
            <v>1721.7820069942254</v>
          </cell>
          <cell r="N17">
            <v>1896.0579320104832</v>
          </cell>
          <cell r="O17">
            <v>1887.6716088514961</v>
          </cell>
          <cell r="P17">
            <v>2054.0000062259278</v>
          </cell>
          <cell r="Q17">
            <v>2184.7349058501063</v>
          </cell>
          <cell r="R17">
            <v>2272.635003939396</v>
          </cell>
          <cell r="S17">
            <v>2228.9120850175691</v>
          </cell>
          <cell r="T17">
            <v>1941.3539976916118</v>
          </cell>
          <cell r="U17">
            <v>1586.2190767866512</v>
          </cell>
          <cell r="V17">
            <v>1626.4545998106457</v>
          </cell>
          <cell r="W17">
            <v>1553.27979701662</v>
          </cell>
        </row>
        <row r="18">
          <cell r="N18">
            <v>2149.2559811578049</v>
          </cell>
          <cell r="O18">
            <v>2214.292302235137</v>
          </cell>
          <cell r="P18">
            <v>2319.9817579846704</v>
          </cell>
          <cell r="Q18">
            <v>2510.6301536920901</v>
          </cell>
          <cell r="R18">
            <v>2668.5252253532744</v>
          </cell>
          <cell r="S18">
            <v>2710.423107774624</v>
          </cell>
          <cell r="T18">
            <v>2356.6913773993938</v>
          </cell>
          <cell r="U18">
            <v>1818.5765560915568</v>
          </cell>
          <cell r="V18">
            <v>1888.8273868840283</v>
          </cell>
          <cell r="W18">
            <v>1806.9273335592693</v>
          </cell>
        </row>
        <row r="19">
          <cell r="B19">
            <v>623.20889252367203</v>
          </cell>
          <cell r="C19">
            <v>599.17508853549884</v>
          </cell>
          <cell r="D19">
            <v>569.25010413632583</v>
          </cell>
          <cell r="E19">
            <v>522.82005149222778</v>
          </cell>
          <cell r="F19">
            <v>573.17050152566628</v>
          </cell>
          <cell r="G19">
            <v>541.3652858264378</v>
          </cell>
          <cell r="H19">
            <v>544.58342178894679</v>
          </cell>
          <cell r="I19">
            <v>527.59669307907586</v>
          </cell>
          <cell r="J19">
            <v>508.25811955440776</v>
          </cell>
          <cell r="K19">
            <v>515.65041512720529</v>
          </cell>
          <cell r="L19">
            <v>536.4622781960461</v>
          </cell>
          <cell r="M19">
            <v>507.71451610822163</v>
          </cell>
          <cell r="N19">
            <v>493.68624669985178</v>
          </cell>
          <cell r="O19">
            <v>477.7456842521604</v>
          </cell>
          <cell r="P19">
            <v>500.93679780908366</v>
          </cell>
          <cell r="Q19">
            <v>522.68230930153459</v>
          </cell>
          <cell r="R19">
            <v>554.95068313984484</v>
          </cell>
          <cell r="S19">
            <v>575.2392136753956</v>
          </cell>
          <cell r="T19">
            <v>575.43652748181898</v>
          </cell>
          <cell r="U19">
            <v>539.94299213075999</v>
          </cell>
          <cell r="V19">
            <v>563.32630427710637</v>
          </cell>
          <cell r="W19">
            <v>536.42270108375408</v>
          </cell>
        </row>
        <row r="20">
          <cell r="B20">
            <v>550.54776111776562</v>
          </cell>
          <cell r="C20">
            <v>526.24490836250561</v>
          </cell>
          <cell r="D20">
            <v>486.02039598002739</v>
          </cell>
          <cell r="E20">
            <v>473.56442079247182</v>
          </cell>
          <cell r="F20">
            <v>531.5942463622165</v>
          </cell>
          <cell r="G20">
            <v>506.76119369152838</v>
          </cell>
          <cell r="H20">
            <v>508.75342071136521</v>
          </cell>
          <cell r="I20">
            <v>541.73583176832199</v>
          </cell>
          <cell r="J20">
            <v>525.36868276279847</v>
          </cell>
          <cell r="K20">
            <v>590.25316817006478</v>
          </cell>
          <cell r="L20">
            <v>674.80781867203348</v>
          </cell>
          <cell r="M20">
            <v>741.42437675657789</v>
          </cell>
          <cell r="N20">
            <v>763.8784071951826</v>
          </cell>
          <cell r="O20">
            <v>803.96902223791574</v>
          </cell>
          <cell r="P20">
            <v>987.15573848075076</v>
          </cell>
          <cell r="Q20">
            <v>1414.0743680962432</v>
          </cell>
          <cell r="R20">
            <v>1483.9541557964731</v>
          </cell>
          <cell r="S20">
            <v>1378.0840275967907</v>
          </cell>
          <cell r="T20">
            <v>900.64208982784578</v>
          </cell>
          <cell r="U20">
            <v>436.07980498871353</v>
          </cell>
          <cell r="V20">
            <v>428.23522489428694</v>
          </cell>
          <cell r="W20">
            <v>468.64734525121571</v>
          </cell>
        </row>
        <row r="21">
          <cell r="B21">
            <v>607.43903245315175</v>
          </cell>
          <cell r="C21">
            <v>587.51365882591654</v>
          </cell>
          <cell r="D21">
            <v>563.94122859052277</v>
          </cell>
          <cell r="E21">
            <v>556.63504116072863</v>
          </cell>
          <cell r="F21">
            <v>626.3812658136402</v>
          </cell>
          <cell r="G21">
            <v>616.47746773705171</v>
          </cell>
          <cell r="H21">
            <v>614.46000484992817</v>
          </cell>
          <cell r="I21">
            <v>658.18521908771925</v>
          </cell>
          <cell r="J21">
            <v>712.09700448137153</v>
          </cell>
          <cell r="K21">
            <v>825.63499377674134</v>
          </cell>
          <cell r="L21">
            <v>915.33667693207849</v>
          </cell>
          <cell r="M21">
            <v>896.33550549695917</v>
          </cell>
          <cell r="N21">
            <v>910.39912823129612</v>
          </cell>
          <cell r="O21">
            <v>892.57778590846988</v>
          </cell>
          <cell r="P21">
            <v>972.43790255823274</v>
          </cell>
          <cell r="Q21">
            <v>1041.5086432672317</v>
          </cell>
          <cell r="R21">
            <v>1195.1375193244471</v>
          </cell>
          <cell r="S21">
            <v>1202.3786638102138</v>
          </cell>
          <cell r="T21">
            <v>1111.3557686651368</v>
          </cell>
          <cell r="U21">
            <v>932.46336550406534</v>
          </cell>
          <cell r="V21">
            <v>938.76063879848459</v>
          </cell>
          <cell r="W21">
            <v>886.74652874790468</v>
          </cell>
        </row>
        <row r="22">
          <cell r="B22">
            <v>739.58645749354991</v>
          </cell>
          <cell r="C22">
            <v>752.25441648518688</v>
          </cell>
          <cell r="D22">
            <v>703.34241961821056</v>
          </cell>
          <cell r="E22">
            <v>653.44786309792869</v>
          </cell>
          <cell r="F22">
            <v>728.52537178993646</v>
          </cell>
          <cell r="G22">
            <v>701.42966812904308</v>
          </cell>
          <cell r="H22">
            <v>756.4829505619432</v>
          </cell>
          <cell r="I22">
            <v>786.07300604538625</v>
          </cell>
          <cell r="J22">
            <v>796.16194546172574</v>
          </cell>
          <cell r="K22">
            <v>861.86763383955872</v>
          </cell>
          <cell r="L22">
            <v>932.58836769112781</v>
          </cell>
          <cell r="M22">
            <v>864.09961890614898</v>
          </cell>
          <cell r="N22">
            <v>851.13393007976856</v>
          </cell>
          <cell r="O22">
            <v>843.57147667662116</v>
          </cell>
          <cell r="P22">
            <v>890.76055610339006</v>
          </cell>
          <cell r="Q22">
            <v>958.93785664399491</v>
          </cell>
          <cell r="R22">
            <v>1074.1162584468004</v>
          </cell>
          <cell r="S22">
            <v>1143.9034990636244</v>
          </cell>
          <cell r="T22">
            <v>1070.7558253310481</v>
          </cell>
          <cell r="U22">
            <v>917.66043393461791</v>
          </cell>
          <cell r="V22">
            <v>884.91070033872393</v>
          </cell>
          <cell r="W22">
            <v>920.74756775269384</v>
          </cell>
        </row>
        <row r="23">
          <cell r="B23">
            <v>541.96419234623943</v>
          </cell>
          <cell r="C23">
            <v>525.13430024011416</v>
          </cell>
          <cell r="D23">
            <v>499.72075974444624</v>
          </cell>
          <cell r="E23">
            <v>453.02836409825164</v>
          </cell>
          <cell r="F23">
            <v>530.73876971268714</v>
          </cell>
          <cell r="G23">
            <v>539.39728442616763</v>
          </cell>
          <cell r="H23">
            <v>580.25128324604032</v>
          </cell>
          <cell r="I23">
            <v>584.94762481058262</v>
          </cell>
          <cell r="J23">
            <v>580.42005855409332</v>
          </cell>
          <cell r="K23">
            <v>619.03074547610197</v>
          </cell>
          <cell r="L23">
            <v>670.82665326882818</v>
          </cell>
          <cell r="M23">
            <v>638.7472390241378</v>
          </cell>
          <cell r="N23">
            <v>641.34940939400008</v>
          </cell>
          <cell r="O23">
            <v>614.96345473651434</v>
          </cell>
          <cell r="P23">
            <v>660.97668534912168</v>
          </cell>
          <cell r="Q23">
            <v>695.66875089046607</v>
          </cell>
          <cell r="R23">
            <v>765.29378374024793</v>
          </cell>
          <cell r="S23">
            <v>727.02292449791128</v>
          </cell>
          <cell r="T23">
            <v>695.74768206851638</v>
          </cell>
          <cell r="U23">
            <v>592.60260479656415</v>
          </cell>
          <cell r="V23">
            <v>563.20974596875203</v>
          </cell>
          <cell r="W23">
            <v>547.64303647511099</v>
          </cell>
        </row>
        <row r="24">
          <cell r="B24">
            <v>876.72437252816871</v>
          </cell>
          <cell r="C24">
            <v>903.48271917443117</v>
          </cell>
          <cell r="D24">
            <v>876.30953440708845</v>
          </cell>
          <cell r="E24">
            <v>818.5082837753622</v>
          </cell>
          <cell r="F24">
            <v>919.46817606956154</v>
          </cell>
          <cell r="G24">
            <v>904.62615136773468</v>
          </cell>
          <cell r="H24">
            <v>926.22956969753022</v>
          </cell>
          <cell r="I24">
            <v>941.92141618276037</v>
          </cell>
          <cell r="J24">
            <v>922.48253819149681</v>
          </cell>
          <cell r="K24">
            <v>1001.897679995701</v>
          </cell>
          <cell r="L24">
            <v>1100.2950301789249</v>
          </cell>
          <cell r="M24">
            <v>1099.7496071259709</v>
          </cell>
          <cell r="N24">
            <v>1165.310884136059</v>
          </cell>
          <cell r="O24">
            <v>1149.6624833309577</v>
          </cell>
          <cell r="P24">
            <v>1261.2257233783039</v>
          </cell>
          <cell r="Q24">
            <v>1386.9496563156506</v>
          </cell>
          <cell r="R24">
            <v>1535.0958831266462</v>
          </cell>
          <cell r="S24">
            <v>1535.8830982820793</v>
          </cell>
          <cell r="T24">
            <v>1320.5808505800826</v>
          </cell>
          <cell r="U24">
            <v>960.37054371116392</v>
          </cell>
          <cell r="V24">
            <v>892.25385045339328</v>
          </cell>
          <cell r="W24">
            <v>782.25004920347999</v>
          </cell>
        </row>
        <row r="25">
          <cell r="B25">
            <v>637.7810516836845</v>
          </cell>
          <cell r="C25">
            <v>628.05097746050183</v>
          </cell>
          <cell r="D25">
            <v>606.0698300406558</v>
          </cell>
          <cell r="E25">
            <v>563.12011592160468</v>
          </cell>
          <cell r="F25">
            <v>659.23161603578126</v>
          </cell>
          <cell r="G25">
            <v>655.67355603257431</v>
          </cell>
          <cell r="H25">
            <v>678.33790509026358</v>
          </cell>
          <cell r="I25">
            <v>699.33172445670778</v>
          </cell>
          <cell r="J25">
            <v>687.84464097730483</v>
          </cell>
          <cell r="K25">
            <v>754.47304602746749</v>
          </cell>
          <cell r="L25">
            <v>847.49092174034604</v>
          </cell>
          <cell r="M25">
            <v>778.2866289884164</v>
          </cell>
          <cell r="N25">
            <v>763.59282034394562</v>
          </cell>
          <cell r="O25">
            <v>734.56544937864635</v>
          </cell>
          <cell r="P25">
            <v>755.11779800666966</v>
          </cell>
          <cell r="Q25">
            <v>771.85724222100657</v>
          </cell>
          <cell r="R25">
            <v>803.61479781506148</v>
          </cell>
          <cell r="S25">
            <v>784.37894680000045</v>
          </cell>
          <cell r="T25">
            <v>703.73235112420173</v>
          </cell>
          <cell r="U25">
            <v>597.941379135489</v>
          </cell>
          <cell r="V25">
            <v>593.74802275762056</v>
          </cell>
          <cell r="W25">
            <v>551.49648499335456</v>
          </cell>
        </row>
        <row r="26">
          <cell r="B26">
            <v>640.57571242654387</v>
          </cell>
          <cell r="C26">
            <v>634.89975963292341</v>
          </cell>
          <cell r="D26">
            <v>620.11272516227609</v>
          </cell>
          <cell r="E26">
            <v>582.72973579065729</v>
          </cell>
          <cell r="F26">
            <v>671.2083182154563</v>
          </cell>
          <cell r="G26">
            <v>679.94561211599796</v>
          </cell>
          <cell r="H26">
            <v>723.8954938403507</v>
          </cell>
          <cell r="I26">
            <v>739.20729529692437</v>
          </cell>
          <cell r="J26">
            <v>721.91697988792623</v>
          </cell>
          <cell r="K26">
            <v>769.1746508728005</v>
          </cell>
          <cell r="L26">
            <v>804.19574652902179</v>
          </cell>
          <cell r="M26">
            <v>810.67172573964524</v>
          </cell>
          <cell r="O26">
            <v>706.22122348806693</v>
          </cell>
          <cell r="P26">
            <v>721.70433266906105</v>
          </cell>
          <cell r="Q26">
            <v>741.14249681750914</v>
          </cell>
          <cell r="R26">
            <v>751.48689536887412</v>
          </cell>
          <cell r="S26">
            <v>721.42719828612815</v>
          </cell>
          <cell r="T26">
            <v>574.21853594845356</v>
          </cell>
          <cell r="U26">
            <v>486.67670558168317</v>
          </cell>
          <cell r="V26">
            <v>531.2727694796298</v>
          </cell>
          <cell r="W26">
            <v>467.17396447649162</v>
          </cell>
        </row>
        <row r="27">
          <cell r="D27">
            <v>593.39700383384127</v>
          </cell>
          <cell r="E27">
            <v>576.39906433652516</v>
          </cell>
          <cell r="F27">
            <v>711.58690367422571</v>
          </cell>
          <cell r="G27">
            <v>744.88977148517984</v>
          </cell>
          <cell r="H27">
            <v>807.0664816857369</v>
          </cell>
          <cell r="I27">
            <v>827.85499456544233</v>
          </cell>
          <cell r="J27">
            <v>823.24128646158135</v>
          </cell>
          <cell r="K27">
            <v>901.33250691577246</v>
          </cell>
          <cell r="L27">
            <v>1020.505823565706</v>
          </cell>
          <cell r="M27">
            <v>1019.6077375282135</v>
          </cell>
          <cell r="N27">
            <v>1003.0813439586725</v>
          </cell>
          <cell r="O27">
            <v>960.52443974783591</v>
          </cell>
          <cell r="P27">
            <v>995.86269971824868</v>
          </cell>
          <cell r="Q27">
            <v>1091.7691006914815</v>
          </cell>
          <cell r="R27">
            <v>1227.2595271816342</v>
          </cell>
          <cell r="S27">
            <v>1212.450931821438</v>
          </cell>
          <cell r="T27">
            <v>1107.7017602317542</v>
          </cell>
          <cell r="U27">
            <v>914.74838182259577</v>
          </cell>
          <cell r="V27">
            <v>912.18532118200585</v>
          </cell>
          <cell r="W27">
            <v>848.43868300670067</v>
          </cell>
        </row>
        <row r="28">
          <cell r="B28">
            <v>616.42186413889112</v>
          </cell>
          <cell r="C28">
            <v>597.32405216893687</v>
          </cell>
          <cell r="D28">
            <v>580.38164969491606</v>
          </cell>
          <cell r="E28">
            <v>524.36412624939453</v>
          </cell>
          <cell r="F28">
            <v>591.13554880683046</v>
          </cell>
          <cell r="G28">
            <v>595.64942476412625</v>
          </cell>
          <cell r="H28">
            <v>602.62475451012722</v>
          </cell>
          <cell r="I28">
            <v>627.84166992263692</v>
          </cell>
          <cell r="J28">
            <v>621.78298824230092</v>
          </cell>
          <cell r="K28">
            <v>677.6807024123168</v>
          </cell>
          <cell r="L28">
            <v>746.46882412966136</v>
          </cell>
          <cell r="M28">
            <v>689.93655892753679</v>
          </cell>
          <cell r="N28">
            <v>682.62083654048558</v>
          </cell>
          <cell r="O28">
            <v>649.40036184998405</v>
          </cell>
          <cell r="P28">
            <v>660.71151237559525</v>
          </cell>
          <cell r="Q28">
            <v>715.34744041589511</v>
          </cell>
          <cell r="R28">
            <v>791.0289840955362</v>
          </cell>
          <cell r="S28">
            <v>818.65268416282811</v>
          </cell>
          <cell r="T28">
            <v>781.95492214785997</v>
          </cell>
          <cell r="U28">
            <v>673.33114439067401</v>
          </cell>
          <cell r="V28">
            <v>666.94666371588335</v>
          </cell>
          <cell r="W28">
            <v>638.99243370171257</v>
          </cell>
        </row>
        <row r="29">
          <cell r="B29">
            <v>649.95777508753963</v>
          </cell>
          <cell r="C29">
            <v>628.05097746050183</v>
          </cell>
          <cell r="D29">
            <v>622.85278250225053</v>
          </cell>
          <cell r="E29">
            <v>564.5097781076438</v>
          </cell>
          <cell r="F29">
            <v>647.08384042644639</v>
          </cell>
          <cell r="G29">
            <v>646.98154028135878</v>
          </cell>
          <cell r="H29">
            <v>700.06287623799187</v>
          </cell>
          <cell r="I29">
            <v>746.19743520516954</v>
          </cell>
          <cell r="J29">
            <v>723.10727993720559</v>
          </cell>
          <cell r="K29">
            <v>779.65342753874904</v>
          </cell>
          <cell r="L29">
            <v>853.46270550977556</v>
          </cell>
          <cell r="M29">
            <v>806.79145567271314</v>
          </cell>
          <cell r="N29">
            <v>804.10257306789026</v>
          </cell>
          <cell r="O29">
            <v>767.14803571697007</v>
          </cell>
          <cell r="P29">
            <v>772.62007611467686</v>
          </cell>
          <cell r="Q29">
            <v>798.45007057573412</v>
          </cell>
          <cell r="R29">
            <v>827.7063213187248</v>
          </cell>
          <cell r="S29">
            <v>817.39367689132575</v>
          </cell>
          <cell r="T29">
            <v>741.89629785824491</v>
          </cell>
          <cell r="U29">
            <v>643.07819900538686</v>
          </cell>
          <cell r="V29">
            <v>623.93663627725653</v>
          </cell>
          <cell r="W29">
            <v>561.13009495529195</v>
          </cell>
        </row>
        <row r="30">
          <cell r="B30">
            <v>714.23495021527071</v>
          </cell>
          <cell r="C30">
            <v>652.29934673335845</v>
          </cell>
          <cell r="D30">
            <v>624.90784391709531</v>
          </cell>
          <cell r="E30">
            <v>581.494481543554</v>
          </cell>
          <cell r="F30">
            <v>648.62370318627802</v>
          </cell>
          <cell r="G30">
            <v>627.95749011866087</v>
          </cell>
          <cell r="H30">
            <v>669.90731927174238</v>
          </cell>
          <cell r="I30">
            <v>708.22826615811061</v>
          </cell>
          <cell r="J30">
            <v>660.61652735003963</v>
          </cell>
          <cell r="K30">
            <v>723.66226865030933</v>
          </cell>
          <cell r="L30">
            <v>813.31925437949553</v>
          </cell>
          <cell r="M30">
            <v>775.60033868485073</v>
          </cell>
          <cell r="N30">
            <v>769.30512859951443</v>
          </cell>
          <cell r="O30">
            <v>731.91643105268872</v>
          </cell>
          <cell r="P30">
            <v>731.1184439348159</v>
          </cell>
          <cell r="Q30">
            <v>779.83509471635114</v>
          </cell>
          <cell r="R30">
            <v>839.54074674912181</v>
          </cell>
          <cell r="S30">
            <v>840.33608301430536</v>
          </cell>
          <cell r="T30">
            <v>787.09755457021572</v>
          </cell>
          <cell r="U30">
            <v>681.66287735613355</v>
          </cell>
          <cell r="V30">
            <v>670.32685465816257</v>
          </cell>
          <cell r="W30">
            <v>671.63342071933187</v>
          </cell>
        </row>
        <row r="31">
          <cell r="B31">
            <v>568.51344245490804</v>
          </cell>
          <cell r="C31">
            <v>563.0802042414989</v>
          </cell>
          <cell r="D31">
            <v>554.3509773805207</v>
          </cell>
          <cell r="E31">
            <v>505.06331453789397</v>
          </cell>
          <cell r="F31">
            <v>574.19707384729293</v>
          </cell>
          <cell r="G31">
            <v>577.60936710154385</v>
          </cell>
          <cell r="H31">
            <v>614.29786847197295</v>
          </cell>
          <cell r="I31">
            <v>611.47836403467693</v>
          </cell>
          <cell r="J31">
            <v>608.83847967001304</v>
          </cell>
          <cell r="K31">
            <v>649.52872308293377</v>
          </cell>
          <cell r="L31">
            <v>689.18425804960054</v>
          </cell>
          <cell r="M31">
            <v>643.52291630879051</v>
          </cell>
          <cell r="N31">
            <v>641.92064021955696</v>
          </cell>
          <cell r="O31">
            <v>604.85313589563123</v>
          </cell>
          <cell r="P31">
            <v>608.86759059642259</v>
          </cell>
          <cell r="Q31">
            <v>619.34728205524891</v>
          </cell>
          <cell r="R31">
            <v>663.85570254287688</v>
          </cell>
          <cell r="S31">
            <v>639.58990703203017</v>
          </cell>
          <cell r="T31">
            <v>567.45187872610552</v>
          </cell>
          <cell r="U31">
            <v>490.43810622637864</v>
          </cell>
          <cell r="V31">
            <v>476.95660244878371</v>
          </cell>
          <cell r="W31">
            <v>417.75915973290796</v>
          </cell>
        </row>
        <row r="32">
          <cell r="B32">
            <v>687.88530062284428</v>
          </cell>
          <cell r="C32">
            <v>656.37158453654558</v>
          </cell>
          <cell r="D32">
            <v>658.302480592866</v>
          </cell>
          <cell r="E32">
            <v>641.71298017579124</v>
          </cell>
          <cell r="F32">
            <v>798.33240600559964</v>
          </cell>
          <cell r="G32">
            <v>829.18597195708253</v>
          </cell>
          <cell r="H32">
            <v>863.97290353542644</v>
          </cell>
          <cell r="I32">
            <v>894.73794002874217</v>
          </cell>
          <cell r="J32">
            <v>903.73529753659659</v>
          </cell>
          <cell r="K32">
            <v>1064.301218535845</v>
          </cell>
          <cell r="L32">
            <v>1300.6804555557053</v>
          </cell>
          <cell r="M32">
            <v>1296.1494731312259</v>
          </cell>
          <cell r="N32">
            <v>1303.8343593336051</v>
          </cell>
          <cell r="O32">
            <v>1258.1386857718062</v>
          </cell>
          <cell r="P32">
            <v>1256.4523888662991</v>
          </cell>
          <cell r="Q32">
            <v>1310.2292948556665</v>
          </cell>
          <cell r="R32">
            <v>1406.3259102649761</v>
          </cell>
          <cell r="S32">
            <v>1369.2707948356301</v>
          </cell>
          <cell r="T32">
            <v>1183.623694866443</v>
          </cell>
          <cell r="U32">
            <v>1054.2842000567866</v>
          </cell>
          <cell r="V32">
            <v>1081.4279849126822</v>
          </cell>
          <cell r="W32">
            <v>1045.8712738734741</v>
          </cell>
        </row>
        <row r="33">
          <cell r="B33">
            <v>485.07290104900534</v>
          </cell>
          <cell r="C33">
            <v>502.36675043520455</v>
          </cell>
          <cell r="D33">
            <v>499.72075974444624</v>
          </cell>
          <cell r="E33">
            <v>482.9831954390188</v>
          </cell>
          <cell r="F33">
            <v>557.60079878673321</v>
          </cell>
          <cell r="G33">
            <v>568.42534854025496</v>
          </cell>
          <cell r="H33">
            <v>598.73371165904598</v>
          </cell>
          <cell r="I33">
            <v>627.52392040376219</v>
          </cell>
          <cell r="J33">
            <v>632.94205120429478</v>
          </cell>
          <cell r="K33">
            <v>686.43909598145819</v>
          </cell>
          <cell r="L33">
            <v>769.02877081446888</v>
          </cell>
          <cell r="M33">
            <v>746.94624214413193</v>
          </cell>
          <cell r="N33">
            <v>742.74286664957754</v>
          </cell>
          <cell r="O33">
            <v>704.36690271292116</v>
          </cell>
          <cell r="P33">
            <v>744.11258260319744</v>
          </cell>
          <cell r="Q33">
            <v>769.99574330542612</v>
          </cell>
          <cell r="R33">
            <v>814.04037548657516</v>
          </cell>
          <cell r="S33">
            <v>838.79724816383668</v>
          </cell>
          <cell r="T33">
            <v>824.99083501536518</v>
          </cell>
          <cell r="U33">
            <v>712.72476655103981</v>
          </cell>
          <cell r="V33">
            <v>693.28882974816042</v>
          </cell>
          <cell r="W33">
            <v>675.37350984910654</v>
          </cell>
        </row>
        <row r="34">
          <cell r="B34">
            <v>607.6386469426875</v>
          </cell>
          <cell r="C34">
            <v>596.39854416626417</v>
          </cell>
          <cell r="D34">
            <v>557.94732115613499</v>
          </cell>
          <cell r="E34">
            <v>535.94459505634018</v>
          </cell>
          <cell r="F34">
            <v>594.7285408113047</v>
          </cell>
          <cell r="G34">
            <v>639.9295136703397</v>
          </cell>
          <cell r="H34">
            <v>719.19382098002143</v>
          </cell>
          <cell r="I34">
            <v>758.11244641240569</v>
          </cell>
          <cell r="J34">
            <v>787.23468021337999</v>
          </cell>
          <cell r="K34">
            <v>873.64972724187896</v>
          </cell>
          <cell r="L34">
            <v>998.60940472456923</v>
          </cell>
          <cell r="M34">
            <v>954.83754402575573</v>
          </cell>
          <cell r="N34">
            <v>930.10662027455021</v>
          </cell>
          <cell r="O34">
            <v>871.12096528151096</v>
          </cell>
          <cell r="P34">
            <v>853.76708988177813</v>
          </cell>
          <cell r="Q34">
            <v>862.27290383491152</v>
          </cell>
          <cell r="R34">
            <v>854.89738315274758</v>
          </cell>
          <cell r="S34">
            <v>784.89190107634363</v>
          </cell>
          <cell r="W34">
            <v>247.6785100312957</v>
          </cell>
        </row>
        <row r="35">
          <cell r="B35">
            <v>506.23246611952379</v>
          </cell>
          <cell r="C35">
            <v>487.55859462714739</v>
          </cell>
          <cell r="D35">
            <v>461.87352197069413</v>
          </cell>
          <cell r="E35">
            <v>442.68312792151391</v>
          </cell>
          <cell r="F35">
            <v>514.99797301261367</v>
          </cell>
          <cell r="G35">
            <v>473.46913419687417</v>
          </cell>
          <cell r="H35">
            <v>493.35138892752803</v>
          </cell>
          <cell r="I35">
            <v>481.843045277285</v>
          </cell>
          <cell r="J35">
            <v>464.51460167064204</v>
          </cell>
          <cell r="K35">
            <v>487.96764170930732</v>
          </cell>
          <cell r="L35">
            <v>532.81285349120174</v>
          </cell>
          <cell r="M35">
            <v>514.87801711119994</v>
          </cell>
          <cell r="N35">
            <v>508.25262846732136</v>
          </cell>
          <cell r="O35">
            <v>491.12307977919943</v>
          </cell>
          <cell r="P35">
            <v>501.59975145779862</v>
          </cell>
          <cell r="Q35">
            <v>592.62147619584459</v>
          </cell>
          <cell r="R35">
            <v>716.26534918132757</v>
          </cell>
          <cell r="S35">
            <v>735.41649283166498</v>
          </cell>
          <cell r="T35">
            <v>742.57293651385089</v>
          </cell>
          <cell r="U35">
            <v>643.56351675695657</v>
          </cell>
          <cell r="V35">
            <v>625.21877766915566</v>
          </cell>
          <cell r="W35">
            <v>607.82484672606017</v>
          </cell>
        </row>
        <row r="36">
          <cell r="B36">
            <v>544.55920865679093</v>
          </cell>
          <cell r="C36">
            <v>523.65346226197005</v>
          </cell>
          <cell r="D36">
            <v>500.40578135775797</v>
          </cell>
          <cell r="E36">
            <v>472.02035684375261</v>
          </cell>
          <cell r="F36">
            <v>527.14577599725612</v>
          </cell>
          <cell r="G36">
            <v>530.04925563483209</v>
          </cell>
          <cell r="H36">
            <v>565.4977613061609</v>
          </cell>
          <cell r="I36">
            <v>594.16189220083766</v>
          </cell>
          <cell r="J36">
            <v>597.82819231117867</v>
          </cell>
          <cell r="K36">
            <v>665.95071102507393</v>
          </cell>
          <cell r="L36">
            <v>757.25115158931214</v>
          </cell>
          <cell r="M36">
            <v>722.47088076318528</v>
          </cell>
          <cell r="N36">
            <v>715.46660901000678</v>
          </cell>
          <cell r="O36">
            <v>686.61869714633576</v>
          </cell>
          <cell r="P36">
            <v>703.80426195248492</v>
          </cell>
          <cell r="Q36">
            <v>732.89871590565303</v>
          </cell>
          <cell r="R36">
            <v>755.57260881524803</v>
          </cell>
          <cell r="S36">
            <v>720.30806983090838</v>
          </cell>
          <cell r="T36">
            <v>546.61057042127902</v>
          </cell>
          <cell r="U36">
            <v>419.21416862656196</v>
          </cell>
          <cell r="V36">
            <v>426.83652169728424</v>
          </cell>
          <cell r="W36">
            <v>447.0000258495399</v>
          </cell>
        </row>
        <row r="37">
          <cell r="B37">
            <v>693.47460813526902</v>
          </cell>
          <cell r="C37">
            <v>634.3444611247869</v>
          </cell>
          <cell r="D37">
            <v>605.38482384025303</v>
          </cell>
          <cell r="E37">
            <v>582.26651042978574</v>
          </cell>
          <cell r="F37">
            <v>661.79806651585</v>
          </cell>
          <cell r="G37">
            <v>670.76160011472439</v>
          </cell>
          <cell r="H37">
            <v>731.51544640709119</v>
          </cell>
          <cell r="I37">
            <v>744.13216659591535</v>
          </cell>
          <cell r="J37">
            <v>734.41513040535938</v>
          </cell>
          <cell r="K37">
            <v>781.37382627554462</v>
          </cell>
          <cell r="L37">
            <v>850.14504970322548</v>
          </cell>
          <cell r="M37">
            <v>790.52433952689137</v>
          </cell>
          <cell r="N37">
            <v>773.73212465526842</v>
          </cell>
          <cell r="O37">
            <v>724.63175648341758</v>
          </cell>
          <cell r="P37">
            <v>740.53256845988221</v>
          </cell>
          <cell r="Q37">
            <v>778.63840354562853</v>
          </cell>
          <cell r="R37">
            <v>839.2590025568586</v>
          </cell>
          <cell r="S37">
            <v>849.98870058740272</v>
          </cell>
          <cell r="T37">
            <v>780.19557773673512</v>
          </cell>
          <cell r="U37">
            <v>644.41286528962962</v>
          </cell>
          <cell r="V37">
            <v>600.8580912230733</v>
          </cell>
          <cell r="W37">
            <v>556.25662728059694</v>
          </cell>
        </row>
        <row r="38">
          <cell r="B38">
            <v>598.25658428169186</v>
          </cell>
          <cell r="C38">
            <v>585.84773923825071</v>
          </cell>
          <cell r="D38">
            <v>582.43672481012447</v>
          </cell>
          <cell r="E38">
            <v>540.88560586849724</v>
          </cell>
          <cell r="F38">
            <v>632.71180054836691</v>
          </cell>
          <cell r="G38">
            <v>634.18952133957987</v>
          </cell>
          <cell r="H38">
            <v>743.99919848451725</v>
          </cell>
          <cell r="I38">
            <v>767.00898811380853</v>
          </cell>
          <cell r="J38">
            <v>717.75092971544859</v>
          </cell>
          <cell r="K38">
            <v>759.68637553290887</v>
          </cell>
          <cell r="L38">
            <v>833.88863412148669</v>
          </cell>
          <cell r="M38">
            <v>774.70488371032718</v>
          </cell>
          <cell r="N38">
            <v>757.02363728850003</v>
          </cell>
          <cell r="O38">
            <v>722.51252327970849</v>
          </cell>
          <cell r="P38">
            <v>717.99171215001513</v>
          </cell>
          <cell r="Q38">
            <v>766.4056963861002</v>
          </cell>
          <cell r="R38">
            <v>853.62937931275906</v>
          </cell>
          <cell r="S38">
            <v>857.82268370962549</v>
          </cell>
          <cell r="T38">
            <v>836.9001517266978</v>
          </cell>
          <cell r="U38">
            <v>686.39493777106941</v>
          </cell>
          <cell r="V38">
            <v>674.28983714221408</v>
          </cell>
          <cell r="W38">
            <v>652.2528414069883</v>
          </cell>
        </row>
        <row r="39">
          <cell r="B39">
            <v>1284.9441480627017</v>
          </cell>
          <cell r="C39">
            <v>1118.5712276827205</v>
          </cell>
          <cell r="D39">
            <v>992.76259215373841</v>
          </cell>
          <cell r="E39">
            <v>856.80106970359634</v>
          </cell>
          <cell r="F39">
            <v>934.0112739786905</v>
          </cell>
          <cell r="G39">
            <v>894.9501611564466</v>
          </cell>
          <cell r="H39">
            <v>924.77036499366454</v>
          </cell>
          <cell r="I39">
            <v>896.16769371356577</v>
          </cell>
          <cell r="J39">
            <v>864.75297092269784</v>
          </cell>
          <cell r="K39">
            <v>958.73128041066991</v>
          </cell>
          <cell r="L39">
            <v>1083.7068672635467</v>
          </cell>
          <cell r="M39">
            <v>997.2217362651528</v>
          </cell>
          <cell r="N39">
            <v>1031.0716115686482</v>
          </cell>
          <cell r="O39">
            <v>1092.97401830484</v>
          </cell>
          <cell r="P39">
            <v>1219.1937054734551</v>
          </cell>
          <cell r="Q39">
            <v>1342.9385033830001</v>
          </cell>
          <cell r="R39">
            <v>1449.8597272641648</v>
          </cell>
          <cell r="S39">
            <v>1469.573922434706</v>
          </cell>
          <cell r="T39">
            <v>1331.9487941136845</v>
          </cell>
          <cell r="U39">
            <v>1116.8933447323695</v>
          </cell>
          <cell r="V39">
            <v>1098.6786262049732</v>
          </cell>
          <cell r="W39">
            <v>1025.3573046825384</v>
          </cell>
        </row>
        <row r="40">
          <cell r="B40">
            <v>2819.6110569126554</v>
          </cell>
          <cell r="C40">
            <v>2526.271678128327</v>
          </cell>
          <cell r="D40">
            <v>2369.3066585091656</v>
          </cell>
          <cell r="E40">
            <v>2208.7834786426911</v>
          </cell>
          <cell r="F40">
            <v>2472.33246180474</v>
          </cell>
          <cell r="G40">
            <v>2281.2454252221155</v>
          </cell>
          <cell r="H40">
            <v>2164.8771459934269</v>
          </cell>
          <cell r="I40">
            <v>1952.1554203068722</v>
          </cell>
          <cell r="J40">
            <v>1763.1319479950384</v>
          </cell>
          <cell r="K40">
            <v>1827.5326581324537</v>
          </cell>
          <cell r="L40">
            <v>1961.885918597276</v>
          </cell>
          <cell r="M40">
            <v>1801.3269016343002</v>
          </cell>
          <cell r="N40">
            <v>1906.482880296126</v>
          </cell>
          <cell r="O40">
            <v>2008.5980596767697</v>
          </cell>
          <cell r="P40">
            <v>2426.5866368449238</v>
          </cell>
          <cell r="Q40">
            <v>3113.888753251973</v>
          </cell>
          <cell r="R40">
            <v>3550.3318557046896</v>
          </cell>
          <cell r="S40">
            <v>3581.5356220019735</v>
          </cell>
          <cell r="T40">
            <v>3357.615313729124</v>
          </cell>
          <cell r="U40">
            <v>2890.575715562712</v>
          </cell>
          <cell r="V40">
            <v>2877.9411682683162</v>
          </cell>
          <cell r="W40">
            <v>2703.9874812621883</v>
          </cell>
        </row>
        <row r="41">
          <cell r="B41">
            <v>564.92028981876399</v>
          </cell>
          <cell r="C41">
            <v>545.12530567578915</v>
          </cell>
          <cell r="D41">
            <v>549.21332898104538</v>
          </cell>
          <cell r="E41">
            <v>498.11503912116962</v>
          </cell>
          <cell r="F41">
            <v>549.90147814374825</v>
          </cell>
          <cell r="G41">
            <v>518.24121935314531</v>
          </cell>
          <cell r="H41">
            <v>547.82594182593857</v>
          </cell>
          <cell r="I41">
            <v>576.20993562726255</v>
          </cell>
          <cell r="J41">
            <v>577.59309891280498</v>
          </cell>
          <cell r="K41">
            <v>656.09752138778742</v>
          </cell>
          <cell r="L41">
            <v>762.39349237776082</v>
          </cell>
          <cell r="M41">
            <v>732.61920133577291</v>
          </cell>
          <cell r="N41">
            <v>751.59695872648012</v>
          </cell>
          <cell r="O41">
            <v>712.71124024140408</v>
          </cell>
          <cell r="P41">
            <v>719.84802903919399</v>
          </cell>
          <cell r="Q41">
            <v>760.55529781568907</v>
          </cell>
          <cell r="R41">
            <v>840.2452199387285</v>
          </cell>
          <cell r="S41">
            <v>850.82802944221714</v>
          </cell>
          <cell r="T41">
            <v>817.54751207078232</v>
          </cell>
          <cell r="U41">
            <v>735.89983580900105</v>
          </cell>
          <cell r="V41">
            <v>721.49592871410903</v>
          </cell>
          <cell r="W41">
            <v>703.14100652468642</v>
          </cell>
        </row>
        <row r="42">
          <cell r="B42">
            <v>595.6615520016619</v>
          </cell>
          <cell r="C42">
            <v>584.36692902540221</v>
          </cell>
          <cell r="D42">
            <v>570.62014393785864</v>
          </cell>
          <cell r="E42">
            <v>533.01088281815771</v>
          </cell>
          <cell r="F42">
            <v>619.53742695305448</v>
          </cell>
          <cell r="G42">
            <v>619.10145921738706</v>
          </cell>
          <cell r="H42">
            <v>635.05008296009714</v>
          </cell>
          <cell r="I42">
            <v>660.25048769697344</v>
          </cell>
          <cell r="J42">
            <v>644.54747668476853</v>
          </cell>
          <cell r="K42">
            <v>691.75669207700844</v>
          </cell>
          <cell r="L42">
            <v>740.99471941937725</v>
          </cell>
          <cell r="M42">
            <v>693.51831912962655</v>
          </cell>
          <cell r="N42">
            <v>665.1982963610003</v>
          </cell>
          <cell r="O42">
            <v>635.22824228221475</v>
          </cell>
          <cell r="P42">
            <v>637.37511062652527</v>
          </cell>
          <cell r="Q42">
            <v>653.91796290532125</v>
          </cell>
          <cell r="R42">
            <v>669.7729223023847</v>
          </cell>
          <cell r="S42">
            <v>664.91050483885363</v>
          </cell>
          <cell r="T42">
            <v>600.6084950556168</v>
          </cell>
          <cell r="U42">
            <v>545.40309712093233</v>
          </cell>
          <cell r="V42">
            <v>574.04965698988599</v>
          </cell>
          <cell r="W42">
            <v>555.00991201455179</v>
          </cell>
        </row>
        <row r="43">
          <cell r="C43">
            <v>506.43899008941133</v>
          </cell>
          <cell r="D43">
            <v>473.51882260772271</v>
          </cell>
          <cell r="E43">
            <v>448.24175813690272</v>
          </cell>
          <cell r="F43">
            <v>517.22220990605047</v>
          </cell>
          <cell r="G43">
            <v>507.74521899172186</v>
          </cell>
          <cell r="H43">
            <v>551.23061121101728</v>
          </cell>
          <cell r="I43">
            <v>559.05232902085163</v>
          </cell>
          <cell r="J43">
            <v>554.82862534908793</v>
          </cell>
          <cell r="K43">
            <v>593.69396251565831</v>
          </cell>
          <cell r="L43">
            <v>659.04903072603213</v>
          </cell>
          <cell r="N43">
            <v>635.20867801926352</v>
          </cell>
          <cell r="O43">
            <v>583.1755527040433</v>
          </cell>
          <cell r="P43">
            <v>623.32024028610249</v>
          </cell>
          <cell r="Q43">
            <v>710.29480050217683</v>
          </cell>
          <cell r="R43">
            <v>827.28366276447446</v>
          </cell>
          <cell r="S43">
            <v>774.16678598321391</v>
          </cell>
          <cell r="T43">
            <v>696.55969446851293</v>
          </cell>
          <cell r="U43">
            <v>650.11563400900695</v>
          </cell>
          <cell r="V43">
            <v>616.2437646142007</v>
          </cell>
          <cell r="W43">
            <v>614.39831988293906</v>
          </cell>
        </row>
        <row r="44">
          <cell r="B44">
            <v>577.29665965111167</v>
          </cell>
          <cell r="C44">
            <v>542.90408572896706</v>
          </cell>
          <cell r="D44">
            <v>524.72392018941957</v>
          </cell>
          <cell r="E44">
            <v>473.87321659751217</v>
          </cell>
          <cell r="F44">
            <v>559.65394000807305</v>
          </cell>
          <cell r="G44">
            <v>543.16928683668471</v>
          </cell>
          <cell r="H44">
            <v>571.82069256371926</v>
          </cell>
          <cell r="I44">
            <v>551.90330958716481</v>
          </cell>
          <cell r="J44">
            <v>563.16071081529287</v>
          </cell>
          <cell r="K44">
            <v>594.31956362031019</v>
          </cell>
          <cell r="L44">
            <v>665.1866665976263</v>
          </cell>
          <cell r="M44">
            <v>653.67123688137815</v>
          </cell>
          <cell r="N44">
            <v>669.91095067184472</v>
          </cell>
          <cell r="O44">
            <v>702.51264816257117</v>
          </cell>
          <cell r="P44">
            <v>808.02247797650648</v>
          </cell>
          <cell r="Q44">
            <v>931.01538620670954</v>
          </cell>
          <cell r="R44">
            <v>1084.9645228498016</v>
          </cell>
          <cell r="S44">
            <v>1067.522027226466</v>
          </cell>
          <cell r="T44">
            <v>959.24134137338012</v>
          </cell>
          <cell r="U44">
            <v>720.490238849766</v>
          </cell>
          <cell r="V44">
            <v>642.11972072472145</v>
          </cell>
          <cell r="W44">
            <v>578.0172777365616</v>
          </cell>
        </row>
        <row r="45">
          <cell r="B45">
            <v>589.87261403022285</v>
          </cell>
          <cell r="C45">
            <v>565.67162072571909</v>
          </cell>
          <cell r="D45">
            <v>543.04816699960236</v>
          </cell>
          <cell r="E45">
            <v>512.78363428148964</v>
          </cell>
          <cell r="F45">
            <v>595.41293889830411</v>
          </cell>
          <cell r="G45">
            <v>600.40543771480168</v>
          </cell>
          <cell r="H45">
            <v>640.72452382889605</v>
          </cell>
          <cell r="I45">
            <v>676.13716930662156</v>
          </cell>
          <cell r="J45">
            <v>676.53679050915105</v>
          </cell>
          <cell r="K45">
            <v>753.37824683132476</v>
          </cell>
          <cell r="L45">
            <v>835.71331910338529</v>
          </cell>
          <cell r="M45">
            <v>799.52843198025266</v>
          </cell>
          <cell r="N45">
            <v>783.44307725127669</v>
          </cell>
          <cell r="O45">
            <v>760.1282073514659</v>
          </cell>
          <cell r="P45">
            <v>790.25498711703801</v>
          </cell>
          <cell r="Q45">
            <v>825.57478235632664</v>
          </cell>
          <cell r="R45">
            <v>873.49437362839058</v>
          </cell>
          <cell r="S45">
            <v>851.38761465374751</v>
          </cell>
          <cell r="T45">
            <v>772.21092221436436</v>
          </cell>
          <cell r="U45">
            <v>675.1107601040834</v>
          </cell>
          <cell r="V45">
            <v>651.09469881218411</v>
          </cell>
          <cell r="W45">
            <v>600.11792702222863</v>
          </cell>
        </row>
        <row r="46">
          <cell r="B46">
            <v>601.05124502455124</v>
          </cell>
          <cell r="C46">
            <v>583.99673248800411</v>
          </cell>
          <cell r="D46">
            <v>549.21332726849982</v>
          </cell>
          <cell r="E46">
            <v>525.29056307456199</v>
          </cell>
          <cell r="F46">
            <v>610.29825552693501</v>
          </cell>
          <cell r="G46">
            <v>611.72145478637617</v>
          </cell>
          <cell r="H46">
            <v>640.40027214945007</v>
          </cell>
          <cell r="I46">
            <v>634.8318034762093</v>
          </cell>
          <cell r="J46">
            <v>624.01480083469971</v>
          </cell>
          <cell r="K46">
            <v>675.80390379035794</v>
          </cell>
          <cell r="L46">
            <v>731.37356568615053</v>
          </cell>
          <cell r="M46">
            <v>697.54779935697752</v>
          </cell>
          <cell r="N46">
            <v>677.33695140408429</v>
          </cell>
          <cell r="O46">
            <v>689.7974608596644</v>
          </cell>
          <cell r="P46">
            <v>697.97015157073383</v>
          </cell>
          <cell r="Q46">
            <v>763.2145420915416</v>
          </cell>
          <cell r="R46">
            <v>849.54369404362205</v>
          </cell>
          <cell r="S46">
            <v>872.37152149885139</v>
          </cell>
          <cell r="T46">
            <v>802.93155953713915</v>
          </cell>
          <cell r="U46">
            <v>685.06027148682665</v>
          </cell>
          <cell r="V46">
            <v>655.87360111054784</v>
          </cell>
          <cell r="W46">
            <v>638.19906532016682</v>
          </cell>
        </row>
        <row r="47">
          <cell r="B47">
            <v>741.98188925733803</v>
          </cell>
          <cell r="C47">
            <v>748.18216017180293</v>
          </cell>
          <cell r="D47">
            <v>713.78895212621626</v>
          </cell>
          <cell r="E47">
            <v>666.88121945178489</v>
          </cell>
          <cell r="F47">
            <v>756.41396634178227</v>
          </cell>
          <cell r="G47">
            <v>743.24976758494824</v>
          </cell>
          <cell r="H47">
            <v>768.48032268830059</v>
          </cell>
          <cell r="I47">
            <v>780.98926793029864</v>
          </cell>
          <cell r="J47">
            <v>761.04807912923434</v>
          </cell>
          <cell r="K47">
            <v>817.18939997792654</v>
          </cell>
          <cell r="L47">
            <v>911.18961132094</v>
          </cell>
          <cell r="M47">
            <v>886.63489002563188</v>
          </cell>
          <cell r="N47">
            <v>913.82654174617869</v>
          </cell>
          <cell r="O47">
            <v>958.67017195252708</v>
          </cell>
          <cell r="P47">
            <v>1404.6914488251271</v>
          </cell>
          <cell r="Q47">
            <v>1622.1633407200595</v>
          </cell>
          <cell r="R47">
            <v>1787.84569856848</v>
          </cell>
          <cell r="S47">
            <v>1660.5276020276019</v>
          </cell>
          <cell r="T47">
            <v>1185.7890387109087</v>
          </cell>
          <cell r="U47">
            <v>697.6791397051561</v>
          </cell>
          <cell r="V47">
            <v>642.93564053903356</v>
          </cell>
          <cell r="W47">
            <v>565.55023841283185</v>
          </cell>
        </row>
        <row r="48">
          <cell r="B48">
            <v>517.0118681347808</v>
          </cell>
          <cell r="C48">
            <v>497.92430313748144</v>
          </cell>
          <cell r="E48">
            <v>492.24758273414949</v>
          </cell>
          <cell r="F48">
            <v>512.77372414247964</v>
          </cell>
          <cell r="G48">
            <v>517.58524075310731</v>
          </cell>
          <cell r="H48">
            <v>542.15152203360412</v>
          </cell>
          <cell r="I48">
            <v>544.75431557216837</v>
          </cell>
          <cell r="J48">
            <v>543.96713144791363</v>
          </cell>
          <cell r="K48">
            <v>567.41877711623761</v>
          </cell>
          <cell r="L48">
            <v>583.57273021437948</v>
          </cell>
          <cell r="M48">
            <v>568.75367059776704</v>
          </cell>
          <cell r="N48">
            <v>546.38228321708982</v>
          </cell>
          <cell r="O48">
            <v>551.91745301226786</v>
          </cell>
          <cell r="P48">
            <v>572.27189046475621</v>
          </cell>
          <cell r="Q48">
            <v>633.04259550559038</v>
          </cell>
          <cell r="R48">
            <v>714.01117022532458</v>
          </cell>
          <cell r="S48">
            <v>719.32883418125107</v>
          </cell>
          <cell r="T48">
            <v>698.31901181300884</v>
          </cell>
          <cell r="U48">
            <v>636.89006400023834</v>
          </cell>
          <cell r="V48">
            <v>617.17626604852865</v>
          </cell>
          <cell r="W48">
            <v>588.44423341270044</v>
          </cell>
        </row>
        <row r="49">
          <cell r="B49">
            <v>1691.5669957038401</v>
          </cell>
          <cell r="C49">
            <v>1609.6467560518595</v>
          </cell>
          <cell r="D49">
            <v>1460.1162853183821</v>
          </cell>
          <cell r="E49">
            <v>1205.4507556462906</v>
          </cell>
          <cell r="F49">
            <v>1294.5098379779527</v>
          </cell>
          <cell r="G49">
            <v>1161.1227613639526</v>
          </cell>
          <cell r="H49">
            <v>1107.6493076587626</v>
          </cell>
          <cell r="I49">
            <v>1104.4421055027335</v>
          </cell>
          <cell r="J49">
            <v>1118.4356689253596</v>
          </cell>
          <cell r="K49">
            <v>1246.1943006206814</v>
          </cell>
          <cell r="L49">
            <v>1433.717788211703</v>
          </cell>
          <cell r="M49">
            <v>1433.4502808779994</v>
          </cell>
          <cell r="N49">
            <v>1632.292084028818</v>
          </cell>
          <cell r="O49">
            <v>1841.0493260472865</v>
          </cell>
          <cell r="P49">
            <v>2325.2854428634987</v>
          </cell>
          <cell r="Q49">
            <v>2789.5891157983215</v>
          </cell>
          <cell r="R49">
            <v>3252.6393614161652</v>
          </cell>
          <cell r="S49">
            <v>3212.2186153168122</v>
          </cell>
          <cell r="T49">
            <v>2198.2162517186871</v>
          </cell>
          <cell r="U49">
            <v>1592.9653308461695</v>
          </cell>
          <cell r="V49">
            <v>1476.4441035817788</v>
          </cell>
          <cell r="W49">
            <v>1368.3141888052148</v>
          </cell>
        </row>
        <row r="50">
          <cell r="B50">
            <v>485.87138894992029</v>
          </cell>
          <cell r="C50">
            <v>483.85655336135835</v>
          </cell>
          <cell r="D50">
            <v>476.43014477002521</v>
          </cell>
          <cell r="E50">
            <v>457.96936410196105</v>
          </cell>
          <cell r="F50">
            <v>550.24369173038008</v>
          </cell>
          <cell r="G50">
            <v>563.34133972954476</v>
          </cell>
          <cell r="H50">
            <v>592.89715386748992</v>
          </cell>
          <cell r="I50">
            <v>612.7493049181212</v>
          </cell>
          <cell r="J50">
            <v>631.00781362421583</v>
          </cell>
          <cell r="K50">
            <v>684.71869724466251</v>
          </cell>
          <cell r="L50">
            <v>780.80639003962585</v>
          </cell>
          <cell r="M50">
            <v>646.50771647719864</v>
          </cell>
          <cell r="N50">
            <v>714.60976277167151</v>
          </cell>
          <cell r="O50">
            <v>693.77093536876419</v>
          </cell>
          <cell r="P50">
            <v>695.71606859160954</v>
          </cell>
          <cell r="Q50">
            <v>716.94303750780568</v>
          </cell>
          <cell r="R50">
            <v>773.88785509862771</v>
          </cell>
          <cell r="S50">
            <v>765.91309646574211</v>
          </cell>
          <cell r="T50">
            <v>711.71699311325801</v>
          </cell>
          <cell r="U50">
            <v>630.33797101528887</v>
          </cell>
          <cell r="V50">
            <v>624.86907943243057</v>
          </cell>
          <cell r="W50">
            <v>589.69093734507351</v>
          </cell>
        </row>
        <row r="51">
          <cell r="B51">
            <v>641.17457386081446</v>
          </cell>
          <cell r="C51">
            <v>636.19546787503339</v>
          </cell>
          <cell r="D51">
            <v>633.81308892669483</v>
          </cell>
          <cell r="E51">
            <v>629.66928291984618</v>
          </cell>
          <cell r="F51">
            <v>775.91887296086475</v>
          </cell>
          <cell r="G51">
            <v>796.05789317240487</v>
          </cell>
          <cell r="H51">
            <v>780.96407476572654</v>
          </cell>
          <cell r="I51">
            <v>786.86734012586851</v>
          </cell>
          <cell r="J51">
            <v>771.61200694533909</v>
          </cell>
          <cell r="K51">
            <v>839.86735204661932</v>
          </cell>
          <cell r="L51">
            <v>997.28236562542384</v>
          </cell>
          <cell r="M51">
            <v>946.1816683093748</v>
          </cell>
          <cell r="N51">
            <v>980.66051977479378</v>
          </cell>
          <cell r="O51">
            <v>975.35878078469659</v>
          </cell>
          <cell r="P51">
            <v>1061.275330336952</v>
          </cell>
          <cell r="Q51">
            <v>1165.9631554910277</v>
          </cell>
          <cell r="R51">
            <v>1256.5638395210544</v>
          </cell>
          <cell r="S51">
            <v>1268.4080680357426</v>
          </cell>
          <cell r="T51">
            <v>1221.110962344937</v>
          </cell>
          <cell r="U51">
            <v>1021.5236016629834</v>
          </cell>
          <cell r="V51">
            <v>1020.7011062600085</v>
          </cell>
          <cell r="W51">
            <v>962.22876234968794</v>
          </cell>
        </row>
        <row r="52">
          <cell r="B52">
            <v>623.40852697505602</v>
          </cell>
          <cell r="C52">
            <v>611.2067166334989</v>
          </cell>
          <cell r="D52">
            <v>583.97800545834878</v>
          </cell>
          <cell r="E52">
            <v>535.79017785302062</v>
          </cell>
          <cell r="F52">
            <v>589.25348272610745</v>
          </cell>
          <cell r="G52">
            <v>564.98134198977243</v>
          </cell>
          <cell r="H52">
            <v>623.70123364782967</v>
          </cell>
          <cell r="I52">
            <v>657.54975500066962</v>
          </cell>
          <cell r="J52">
            <v>651.98685199276451</v>
          </cell>
          <cell r="K52">
            <v>693.47709081380401</v>
          </cell>
          <cell r="L52">
            <v>763.72054806510255</v>
          </cell>
          <cell r="M52">
            <v>745.60309699234904</v>
          </cell>
          <cell r="N52">
            <v>736.60213527484109</v>
          </cell>
          <cell r="O52">
            <v>707.01592103887879</v>
          </cell>
          <cell r="P52">
            <v>719.58285606566744</v>
          </cell>
          <cell r="Q52">
            <v>749.9181345623881</v>
          </cell>
          <cell r="R52">
            <v>801.21971858568998</v>
          </cell>
          <cell r="S52">
            <v>763.5349187711787</v>
          </cell>
          <cell r="T52">
            <v>634.84779413401259</v>
          </cell>
          <cell r="U52">
            <v>567.00081088499007</v>
          </cell>
          <cell r="V52">
            <v>552.2532649834327</v>
          </cell>
          <cell r="W52">
            <v>505.02842933218011</v>
          </cell>
        </row>
        <row r="53">
          <cell r="B53">
            <v>728.80707544014126</v>
          </cell>
          <cell r="C53">
            <v>693.20688041553888</v>
          </cell>
          <cell r="D53">
            <v>666.52269028878993</v>
          </cell>
          <cell r="E53">
            <v>620.86811377995537</v>
          </cell>
          <cell r="F53">
            <v>698.58362917292402</v>
          </cell>
          <cell r="G53">
            <v>690.60564238751476</v>
          </cell>
          <cell r="H53">
            <v>727.13802684747429</v>
          </cell>
          <cell r="I53">
            <v>760.81318228604584</v>
          </cell>
          <cell r="J53">
            <v>738.13481805935737</v>
          </cell>
          <cell r="K53">
            <v>832.98577273942522</v>
          </cell>
          <cell r="L53">
            <v>942.20953801255041</v>
          </cell>
          <cell r="M53">
            <v>939.9135581077162</v>
          </cell>
          <cell r="N53">
            <v>1103.0466955888162</v>
          </cell>
          <cell r="O53">
            <v>1218.6687074148215</v>
          </cell>
          <cell r="P53">
            <v>1528.0030868728077</v>
          </cell>
          <cell r="Q53">
            <v>1975.4492553519883</v>
          </cell>
          <cell r="R53">
            <v>2095.259311427531</v>
          </cell>
          <cell r="S53">
            <v>2045.0928685619601</v>
          </cell>
          <cell r="T53">
            <v>1558.0905055511864</v>
          </cell>
          <cell r="U53">
            <v>1006.7206700935366</v>
          </cell>
          <cell r="V53">
            <v>941.20833996226645</v>
          </cell>
          <cell r="W53">
            <v>820.3311875014183</v>
          </cell>
        </row>
        <row r="54">
          <cell r="B54">
            <v>676.90628411805164</v>
          </cell>
          <cell r="C54">
            <v>665.62668492448836</v>
          </cell>
          <cell r="D54">
            <v>664.98139765274732</v>
          </cell>
          <cell r="E54">
            <v>639.39688425271265</v>
          </cell>
          <cell r="F54">
            <v>743.58179093449121</v>
          </cell>
          <cell r="G54">
            <v>748.49778006568931</v>
          </cell>
          <cell r="H54">
            <v>770.75009579328719</v>
          </cell>
          <cell r="I54">
            <v>793.38089547250593</v>
          </cell>
          <cell r="J54">
            <v>789.76409757559964</v>
          </cell>
          <cell r="K54">
            <v>841.43138217822866</v>
          </cell>
          <cell r="L54">
            <v>925.28957799894476</v>
          </cell>
          <cell r="M54">
            <v>898.87254086810333</v>
          </cell>
          <cell r="N54">
            <v>986.3728137495923</v>
          </cell>
          <cell r="O54">
            <v>960.65692907451557</v>
          </cell>
          <cell r="P54">
            <v>1039.5300459849113</v>
          </cell>
          <cell r="Q54">
            <v>1130.5946362057373</v>
          </cell>
          <cell r="R54">
            <v>1235.7127123552639</v>
          </cell>
          <cell r="S54">
            <v>1233.4348806343833</v>
          </cell>
          <cell r="T54">
            <v>1131.3850469766578</v>
          </cell>
          <cell r="U54">
            <v>934.52604481631363</v>
          </cell>
          <cell r="V54">
            <v>959.74112264645657</v>
          </cell>
          <cell r="W54">
            <v>841.97848990258615</v>
          </cell>
        </row>
        <row r="55">
          <cell r="B55">
            <v>708.04676529909682</v>
          </cell>
          <cell r="C55">
            <v>674.511570264836</v>
          </cell>
          <cell r="D55">
            <v>645.28712645394069</v>
          </cell>
          <cell r="E55">
            <v>604.65544077434072</v>
          </cell>
          <cell r="F55">
            <v>694.13514169839641</v>
          </cell>
          <cell r="G55">
            <v>697.00165759841786</v>
          </cell>
          <cell r="H55">
            <v>744.64770508594188</v>
          </cell>
          <cell r="I55">
            <v>751.75777376854637</v>
          </cell>
          <cell r="J55">
            <v>758.36991889710634</v>
          </cell>
          <cell r="K55">
            <v>865.04778047786647</v>
          </cell>
          <cell r="L55">
            <v>985.33884785115299</v>
          </cell>
          <cell r="M55">
            <v>991.252121004336</v>
          </cell>
          <cell r="N55">
            <v>1050.0650365184147</v>
          </cell>
          <cell r="O55">
            <v>1067.6761860055428</v>
          </cell>
          <cell r="P55">
            <v>1144.8089804216622</v>
          </cell>
          <cell r="Q55">
            <v>1223.137751744576</v>
          </cell>
          <cell r="R55">
            <v>1309.6779734377296</v>
          </cell>
          <cell r="S55">
            <v>1253.99913704136</v>
          </cell>
          <cell r="T55">
            <v>1068.8611748421049</v>
          </cell>
          <cell r="U55">
            <v>862.5741148155272</v>
          </cell>
          <cell r="V55">
            <v>786.65201142842147</v>
          </cell>
          <cell r="W55">
            <v>691.01400003167544</v>
          </cell>
        </row>
        <row r="56">
          <cell r="B56">
            <v>652.15359036560699</v>
          </cell>
          <cell r="C56">
            <v>641.1932303400705</v>
          </cell>
          <cell r="D56">
            <v>608.46739883706539</v>
          </cell>
          <cell r="E56">
            <v>557.56150269091938</v>
          </cell>
          <cell r="F56">
            <v>660.94257275675352</v>
          </cell>
          <cell r="G56">
            <v>699.29766305874205</v>
          </cell>
          <cell r="H56">
            <v>729.89417990352933</v>
          </cell>
          <cell r="I56">
            <v>729.67528633113557</v>
          </cell>
          <cell r="J56">
            <v>694.83765376682095</v>
          </cell>
          <cell r="K56">
            <v>728.66706497553298</v>
          </cell>
          <cell r="L56">
            <v>835.82392919492543</v>
          </cell>
          <cell r="M56">
            <v>796.79239003254656</v>
          </cell>
          <cell r="O56">
            <v>750.45941363984116</v>
          </cell>
          <cell r="P56">
            <v>773.15047509897647</v>
          </cell>
          <cell r="Q56">
            <v>860.27842741465452</v>
          </cell>
          <cell r="R56">
            <v>967.0427439480402</v>
          </cell>
          <cell r="S56">
            <v>1043.0407023173345</v>
          </cell>
          <cell r="V56">
            <v>720.79662548730562</v>
          </cell>
          <cell r="W56">
            <v>687.16055151343153</v>
          </cell>
        </row>
        <row r="57">
          <cell r="B57">
            <v>1218.0719765862671</v>
          </cell>
          <cell r="C57">
            <v>1121.1626367628619</v>
          </cell>
          <cell r="D57">
            <v>994.47518900065484</v>
          </cell>
          <cell r="E57">
            <v>881.0428891391258</v>
          </cell>
          <cell r="F57">
            <v>954.88496308411766</v>
          </cell>
          <cell r="G57">
            <v>882.97811628471698</v>
          </cell>
          <cell r="H57">
            <v>859.75761062616573</v>
          </cell>
          <cell r="I57">
            <v>849.61974837065986</v>
          </cell>
          <cell r="J57">
            <v>815.50430638376451</v>
          </cell>
          <cell r="K57">
            <v>904.3040890938853</v>
          </cell>
          <cell r="L57">
            <v>999.27294915643631</v>
          </cell>
          <cell r="M57">
            <v>997.37097627357309</v>
          </cell>
          <cell r="N57">
            <v>1093.4786078222799</v>
          </cell>
          <cell r="O57">
            <v>1186.0860680966609</v>
          </cell>
          <cell r="P57">
            <v>1321.8207908411362</v>
          </cell>
          <cell r="Q57">
            <v>1455.6921652802907</v>
          </cell>
          <cell r="R57">
            <v>1613.5694598552629</v>
          </cell>
          <cell r="S57">
            <v>1594.6380766183552</v>
          </cell>
          <cell r="T57">
            <v>1420.0506982152856</v>
          </cell>
          <cell r="U57">
            <v>1129.7548960935849</v>
          </cell>
          <cell r="V57">
            <v>1075.1338129498795</v>
          </cell>
          <cell r="W57">
            <v>1006.4300835883661</v>
          </cell>
        </row>
        <row r="58">
          <cell r="B58">
            <v>537.37294730056897</v>
          </cell>
          <cell r="C58">
            <v>530.50224258337198</v>
          </cell>
          <cell r="D58">
            <v>503.3171035200607</v>
          </cell>
          <cell r="E58">
            <v>472.94677977234466</v>
          </cell>
          <cell r="F58">
            <v>526.11920709754293</v>
          </cell>
          <cell r="G58">
            <v>509.05722703191879</v>
          </cell>
          <cell r="H58">
            <v>563.71436977350936</v>
          </cell>
          <cell r="I58">
            <v>593.20869289292693</v>
          </cell>
          <cell r="J58">
            <v>606.45787808357943</v>
          </cell>
          <cell r="K58">
            <v>676.27310344584771</v>
          </cell>
          <cell r="L58">
            <v>740.99471941937725</v>
          </cell>
          <cell r="M58">
            <v>698.59247941592037</v>
          </cell>
          <cell r="N58">
            <v>699.90056901358139</v>
          </cell>
          <cell r="O58">
            <v>689.53256167606037</v>
          </cell>
          <cell r="P58">
            <v>727.40583667508156</v>
          </cell>
          <cell r="Q58">
            <v>845.25349847459722</v>
          </cell>
          <cell r="R58">
            <v>971.55114412590183</v>
          </cell>
          <cell r="S58">
            <v>895.73362002779913</v>
          </cell>
          <cell r="T58">
            <v>868.43277438284008</v>
          </cell>
          <cell r="U58">
            <v>775.09119168308564</v>
          </cell>
          <cell r="V58">
            <v>745.85662681602207</v>
          </cell>
          <cell r="W58">
            <v>691.01397736433125</v>
          </cell>
        </row>
        <row r="59">
          <cell r="B59">
            <v>1361.7972835580979</v>
          </cell>
          <cell r="C59">
            <v>1254.6211576652929</v>
          </cell>
          <cell r="D59">
            <v>1157.1669573267634</v>
          </cell>
          <cell r="E59">
            <v>1045.9489497436064</v>
          </cell>
          <cell r="F59">
            <v>1158.1466044260403</v>
          </cell>
          <cell r="G59">
            <v>1088.7985893637403</v>
          </cell>
          <cell r="H59">
            <v>1117.052620954091</v>
          </cell>
          <cell r="I59">
            <v>1105.7130559181869</v>
          </cell>
          <cell r="J59">
            <v>1091.8027350802349</v>
          </cell>
          <cell r="K59">
            <v>1245.5686854400396</v>
          </cell>
          <cell r="L59">
            <v>1501.2317463052082</v>
          </cell>
          <cell r="M59">
            <v>1499.862099549081</v>
          </cell>
          <cell r="N59">
            <v>1691.557296461116</v>
          </cell>
          <cell r="O59">
            <v>1805.6852717912029</v>
          </cell>
          <cell r="P59">
            <v>2038.8843644355291</v>
          </cell>
          <cell r="Q59">
            <v>2367.2948036745038</v>
          </cell>
          <cell r="R59">
            <v>2641.7568502507393</v>
          </cell>
          <cell r="S59">
            <v>2624.3890323536489</v>
          </cell>
          <cell r="T59">
            <v>2360.4806783772801</v>
          </cell>
          <cell r="U59">
            <v>1846.2410511557698</v>
          </cell>
          <cell r="V59">
            <v>1828.3336248480634</v>
          </cell>
          <cell r="W59">
            <v>1714.7845906184662</v>
          </cell>
        </row>
        <row r="60">
          <cell r="B60">
            <v>668.1230549447389</v>
          </cell>
          <cell r="C60">
            <v>656.92689600182018</v>
          </cell>
          <cell r="D60">
            <v>637.92317408038377</v>
          </cell>
          <cell r="E60">
            <v>627.66199824244723</v>
          </cell>
          <cell r="F60">
            <v>731.43399821558899</v>
          </cell>
          <cell r="G60">
            <v>771.62183505895439</v>
          </cell>
          <cell r="H60">
            <v>779.66706156287717</v>
          </cell>
          <cell r="I60">
            <v>807.36117528899626</v>
          </cell>
          <cell r="J60">
            <v>797.64980564457426</v>
          </cell>
          <cell r="K60">
            <v>871.77291297993168</v>
          </cell>
          <cell r="L60">
            <v>1009.004674275412</v>
          </cell>
          <cell r="M60">
            <v>1000.3557764419812</v>
          </cell>
          <cell r="N60">
            <v>1093.4786078222796</v>
          </cell>
          <cell r="O60">
            <v>1183.4371027505399</v>
          </cell>
          <cell r="P60">
            <v>1461.1761031603442</v>
          </cell>
          <cell r="Q60">
            <v>1879.0501644773126</v>
          </cell>
          <cell r="R60">
            <v>1910.1348646657862</v>
          </cell>
          <cell r="S60">
            <v>1692.5630405121478</v>
          </cell>
          <cell r="T60">
            <v>1277.8155228015851</v>
          </cell>
          <cell r="U60">
            <v>834.18159458975799</v>
          </cell>
          <cell r="V60">
            <v>793.06275335540931</v>
          </cell>
          <cell r="W60">
            <v>709.94120979217541</v>
          </cell>
        </row>
        <row r="61">
          <cell r="B61">
            <v>422.79193269836048</v>
          </cell>
          <cell r="C61">
            <v>420.73677763750356</v>
          </cell>
          <cell r="D61">
            <v>420.77242382725603</v>
          </cell>
          <cell r="E61">
            <v>398.21408156621158</v>
          </cell>
          <cell r="F61">
            <v>455.79885849028062</v>
          </cell>
          <cell r="G61">
            <v>460.02109237495188</v>
          </cell>
          <cell r="H61">
            <v>482.16464681041856</v>
          </cell>
          <cell r="I61">
            <v>487.40339655000713</v>
          </cell>
          <cell r="J61">
            <v>491.59392184024694</v>
          </cell>
          <cell r="K61">
            <v>524.72161472266862</v>
          </cell>
          <cell r="L61">
            <v>565.98924401592262</v>
          </cell>
          <cell r="M61">
            <v>549.94943102919603</v>
          </cell>
          <cell r="N61">
            <v>557.80690258438176</v>
          </cell>
          <cell r="O61">
            <v>545.69231822408778</v>
          </cell>
          <cell r="P61">
            <v>565.77482776022111</v>
          </cell>
          <cell r="Q61">
            <v>614.95946318280949</v>
          </cell>
          <cell r="R61">
            <v>698.79547636092298</v>
          </cell>
          <cell r="S61">
            <v>739.47334222513757</v>
          </cell>
          <cell r="T61">
            <v>693.1763793906531</v>
          </cell>
          <cell r="U61">
            <v>679.72148501435129</v>
          </cell>
          <cell r="V61">
            <v>662.86709961181543</v>
          </cell>
          <cell r="W61">
            <v>470.91407627361053</v>
          </cell>
        </row>
        <row r="62">
          <cell r="B62">
            <v>502.4397289366164</v>
          </cell>
          <cell r="C62">
            <v>491.44573045959595</v>
          </cell>
          <cell r="D62">
            <v>475.23136807827501</v>
          </cell>
          <cell r="E62">
            <v>442.99194843157738</v>
          </cell>
          <cell r="F62">
            <v>516.19564956112094</v>
          </cell>
          <cell r="G62">
            <v>541.36528418643388</v>
          </cell>
          <cell r="H62">
            <v>570.19942281762462</v>
          </cell>
          <cell r="I62">
            <v>592.73208767863298</v>
          </cell>
          <cell r="J62">
            <v>611.96301283574621</v>
          </cell>
          <cell r="K62">
            <v>680.18309744693101</v>
          </cell>
          <cell r="L62">
            <v>756.25585982380585</v>
          </cell>
          <cell r="M62">
            <v>695.30919923067142</v>
          </cell>
          <cell r="N62">
            <v>697.90126112413225</v>
          </cell>
          <cell r="O62">
            <v>673.77107349658615</v>
          </cell>
          <cell r="P62">
            <v>701.68277208977975</v>
          </cell>
          <cell r="Q62">
            <v>725.18677853039912</v>
          </cell>
          <cell r="R62">
            <v>778.39614256754135</v>
          </cell>
          <cell r="S62">
            <v>770.80935864971241</v>
          </cell>
          <cell r="T62">
            <v>728.22763673578731</v>
          </cell>
          <cell r="U62">
            <v>645.38353719342001</v>
          </cell>
          <cell r="V62">
            <v>637.690505007252</v>
          </cell>
          <cell r="W62">
            <v>610.31822058979014</v>
          </cell>
        </row>
        <row r="63">
          <cell r="B63">
            <v>658.74100825322171</v>
          </cell>
          <cell r="C63">
            <v>638.23160251029458</v>
          </cell>
          <cell r="D63">
            <v>599.21966357135557</v>
          </cell>
          <cell r="E63">
            <v>556.32624535568823</v>
          </cell>
          <cell r="F63">
            <v>620.73510521251865</v>
          </cell>
          <cell r="G63">
            <v>584.82538754257052</v>
          </cell>
          <cell r="H63">
            <v>597.59881862148666</v>
          </cell>
          <cell r="I63">
            <v>602.42296028318196</v>
          </cell>
          <cell r="J63">
            <v>591.28155394314263</v>
          </cell>
          <cell r="K63">
            <v>657.5051172262589</v>
          </cell>
          <cell r="L63">
            <v>739.00413588836466</v>
          </cell>
          <cell r="M63">
            <v>738.43956166416876</v>
          </cell>
          <cell r="N63">
            <v>768.87671976111744</v>
          </cell>
          <cell r="O63">
            <v>769.39967877760341</v>
          </cell>
          <cell r="P63">
            <v>909.72138501063046</v>
          </cell>
          <cell r="Q63">
            <v>1262.7610459155246</v>
          </cell>
          <cell r="R63">
            <v>1514.949172795988</v>
          </cell>
          <cell r="S63">
            <v>1453.9059142224185</v>
          </cell>
          <cell r="T63">
            <v>1142.3470587434906</v>
          </cell>
          <cell r="U63">
            <v>729.83306057562095</v>
          </cell>
          <cell r="V63">
            <v>627.78303714129208</v>
          </cell>
          <cell r="W63">
            <v>567.93030955645304</v>
          </cell>
        </row>
        <row r="64">
          <cell r="B64">
            <v>570.31001278442545</v>
          </cell>
          <cell r="C64">
            <v>545.49548740502951</v>
          </cell>
          <cell r="D64">
            <v>502.63208361929429</v>
          </cell>
          <cell r="E64">
            <v>470.63069465771349</v>
          </cell>
          <cell r="F64">
            <v>525.60589783881403</v>
          </cell>
          <cell r="G64">
            <v>514.14122436260152</v>
          </cell>
          <cell r="H64">
            <v>516.04911997739339</v>
          </cell>
          <cell r="I64">
            <v>529.82083009309486</v>
          </cell>
          <cell r="J64">
            <v>526.85655782439756</v>
          </cell>
          <cell r="K64">
            <v>543.80239602058725</v>
          </cell>
          <cell r="L64">
            <v>612.10445071569882</v>
          </cell>
          <cell r="M64">
            <v>552.18802966310204</v>
          </cell>
          <cell r="N64">
            <v>594.2228691417107</v>
          </cell>
          <cell r="O64">
            <v>652.31423962466795</v>
          </cell>
          <cell r="P64">
            <v>806.16614782801605</v>
          </cell>
          <cell r="Q64">
            <v>1077.541957000959</v>
          </cell>
          <cell r="R64">
            <v>1135.2608626283811</v>
          </cell>
          <cell r="S64">
            <v>990.8607278103409</v>
          </cell>
          <cell r="T64">
            <v>779.11291258115943</v>
          </cell>
          <cell r="U64">
            <v>519.43729548200042</v>
          </cell>
          <cell r="V64">
            <v>480.10366628410634</v>
          </cell>
          <cell r="W64">
            <v>468.64734185111416</v>
          </cell>
        </row>
        <row r="65">
          <cell r="B65">
            <v>861.75298638526965</v>
          </cell>
          <cell r="C65">
            <v>839.62253926966184</v>
          </cell>
          <cell r="D65">
            <v>786.05837098352526</v>
          </cell>
          <cell r="E65">
            <v>707.49010130309762</v>
          </cell>
          <cell r="F65">
            <v>796.79254495672478</v>
          </cell>
          <cell r="G65">
            <v>757.18980073691648</v>
          </cell>
          <cell r="J65">
            <v>751.97205613222991</v>
          </cell>
          <cell r="K65">
            <v>762.9186398262824</v>
          </cell>
          <cell r="L65">
            <v>802.70280888076263</v>
          </cell>
          <cell r="M65">
            <v>785.89786941785701</v>
          </cell>
          <cell r="N65">
            <v>832.4261205427805</v>
          </cell>
          <cell r="O65">
            <v>885.95533280829011</v>
          </cell>
          <cell r="P65">
            <v>974.69201205598051</v>
          </cell>
          <cell r="Q65">
            <v>1127.403548393283</v>
          </cell>
          <cell r="R65">
            <v>1289.5312631070717</v>
          </cell>
          <cell r="S65">
            <v>1308.4174104266353</v>
          </cell>
          <cell r="T65">
            <v>1231.8022807562468</v>
          </cell>
          <cell r="U65">
            <v>1039.96662263956</v>
          </cell>
          <cell r="V65">
            <v>1025.1303219774779</v>
          </cell>
          <cell r="W65">
            <v>946.13498195098032</v>
          </cell>
        </row>
        <row r="66">
          <cell r="B66">
            <v>669.91963725136543</v>
          </cell>
          <cell r="C66">
            <v>632.30832834054547</v>
          </cell>
          <cell r="D66">
            <v>593.5682429679872</v>
          </cell>
          <cell r="E66">
            <v>549.22354192719661</v>
          </cell>
          <cell r="F66">
            <v>625.35466782766275</v>
          </cell>
          <cell r="G66">
            <v>631.07350408911657</v>
          </cell>
          <cell r="H66">
            <v>682.55319799952429</v>
          </cell>
          <cell r="I66">
            <v>720.93761144582913</v>
          </cell>
          <cell r="J66">
            <v>715.37032961688976</v>
          </cell>
          <cell r="K66">
            <v>789.81942007435964</v>
          </cell>
          <cell r="L66">
            <v>890.62019840255664</v>
          </cell>
          <cell r="M66">
            <v>832.31152696060417</v>
          </cell>
          <cell r="N66">
            <v>822.57238880192392</v>
          </cell>
          <cell r="O66">
            <v>806.22067854350848</v>
          </cell>
          <cell r="P66">
            <v>894.07539727317874</v>
          </cell>
          <cell r="Q66">
            <v>1294.5395049850683</v>
          </cell>
          <cell r="R66">
            <v>1506.3551014376083</v>
          </cell>
          <cell r="S66">
            <v>1433.2017789991594</v>
          </cell>
          <cell r="T66">
            <v>1039.7645623193227</v>
          </cell>
          <cell r="U66">
            <v>663.58387502711071</v>
          </cell>
          <cell r="V66">
            <v>647.94762448661368</v>
          </cell>
          <cell r="W66">
            <v>537.4427315738775</v>
          </cell>
        </row>
        <row r="67">
          <cell r="B67">
            <v>562.32525554254926</v>
          </cell>
          <cell r="C67">
            <v>547.16142365187295</v>
          </cell>
          <cell r="D67">
            <v>539.28055668911441</v>
          </cell>
          <cell r="E67">
            <v>507.37941046097268</v>
          </cell>
          <cell r="F67">
            <v>554.692163806297</v>
          </cell>
          <cell r="G67">
            <v>538.74129434610245</v>
          </cell>
          <cell r="H67">
            <v>552.52764224779833</v>
          </cell>
          <cell r="I67">
            <v>555.08065702977149</v>
          </cell>
          <cell r="J67">
            <v>538.75956873231655</v>
          </cell>
          <cell r="K67">
            <v>565.85477826460522</v>
          </cell>
          <cell r="L67">
            <v>622.88674997541614</v>
          </cell>
          <cell r="M67">
            <v>584.72235149875053</v>
          </cell>
          <cell r="N67">
            <v>582.08420695824145</v>
          </cell>
          <cell r="O67">
            <v>565.5597543453905</v>
          </cell>
          <cell r="P67">
            <v>589.37640248281764</v>
          </cell>
          <cell r="Q67">
            <v>614.0287137250192</v>
          </cell>
          <cell r="R67">
            <v>648.92176695935711</v>
          </cell>
          <cell r="S67">
            <v>667.42857533897961</v>
          </cell>
          <cell r="T67">
            <v>634.1711148784633</v>
          </cell>
          <cell r="U67">
            <v>566.03012927435941</v>
          </cell>
          <cell r="V67">
            <v>565.54091213584115</v>
          </cell>
        </row>
        <row r="68">
          <cell r="B68">
            <v>623.00929599979975</v>
          </cell>
          <cell r="C68">
            <v>647.11647119146483</v>
          </cell>
          <cell r="D68">
            <v>654.70614024234249</v>
          </cell>
          <cell r="E68">
            <v>638.62484919022518</v>
          </cell>
          <cell r="F68">
            <v>784.47365656572538</v>
          </cell>
          <cell r="G68">
            <v>821.14995284594784</v>
          </cell>
          <cell r="H68">
            <v>898.99227622502667</v>
          </cell>
          <cell r="I68">
            <v>947.79944071828527</v>
          </cell>
          <cell r="J68">
            <v>922.18496317917709</v>
          </cell>
          <cell r="K68">
            <v>1012.2200411364979</v>
          </cell>
          <cell r="L68">
            <v>1106.4326627328799</v>
          </cell>
          <cell r="M68">
            <v>1007.6685219305806</v>
          </cell>
          <cell r="N68">
            <v>1010.5073446909121</v>
          </cell>
          <cell r="O68">
            <v>995.88848075896021</v>
          </cell>
          <cell r="P68">
            <v>1090.8435687797842</v>
          </cell>
          <cell r="Q68">
            <v>1287.2265134202648</v>
          </cell>
          <cell r="R68">
            <v>1578.2070133943475</v>
          </cell>
          <cell r="S68">
            <v>1648.4968067599409</v>
          </cell>
          <cell r="T68">
            <v>1510.0472663391438</v>
          </cell>
          <cell r="U68">
            <v>1187.5105841818124</v>
          </cell>
          <cell r="V68">
            <v>1105.2058798169921</v>
          </cell>
          <cell r="W68">
            <v>992.37631883521681</v>
          </cell>
        </row>
        <row r="69">
          <cell r="B69">
            <v>1078.9378747364103</v>
          </cell>
          <cell r="C69">
            <v>973.45126411356966</v>
          </cell>
          <cell r="D69">
            <v>859.18406257611014</v>
          </cell>
          <cell r="E69">
            <v>759.21624358518795</v>
          </cell>
          <cell r="F69">
            <v>841.96180239038904</v>
          </cell>
          <cell r="G69">
            <v>799.99390253296042</v>
          </cell>
          <cell r="H69">
            <v>806.4179588716471</v>
          </cell>
          <cell r="I69">
            <v>802.11855447113078</v>
          </cell>
          <cell r="J69">
            <v>779.79531978413468</v>
          </cell>
          <cell r="K69">
            <v>850.50254423771958</v>
          </cell>
          <cell r="L69">
            <v>963.44242901001621</v>
          </cell>
          <cell r="M69">
            <v>986.62569566730394</v>
          </cell>
          <cell r="N69">
            <v>1154.3146907440889</v>
          </cell>
          <cell r="O69">
            <v>1277.0789509095687</v>
          </cell>
          <cell r="P69">
            <v>1456.2701843714615</v>
          </cell>
          <cell r="Q69">
            <v>1555.1493930555862</v>
          </cell>
          <cell r="R69">
            <v>1642.4511418176696</v>
          </cell>
          <cell r="S69">
            <v>1596.4567110692296</v>
          </cell>
          <cell r="T69">
            <v>1358.880103391944</v>
          </cell>
          <cell r="U69">
            <v>1053.4348272570121</v>
          </cell>
          <cell r="V69">
            <v>1047.1598072889785</v>
          </cell>
          <cell r="W69">
            <v>980.81597328048576</v>
          </cell>
        </row>
        <row r="70">
          <cell r="B70">
            <v>798.473927621283</v>
          </cell>
          <cell r="C70">
            <v>696.72381971058917</v>
          </cell>
          <cell r="D70">
            <v>672.00284264473919</v>
          </cell>
          <cell r="E70">
            <v>620.25049128859553</v>
          </cell>
          <cell r="F70">
            <v>736.56686837850555</v>
          </cell>
          <cell r="G70">
            <v>772.93383817913968</v>
          </cell>
          <cell r="H70">
            <v>876.13243473747013</v>
          </cell>
          <cell r="I70">
            <v>901.56916546084608</v>
          </cell>
          <cell r="J70">
            <v>883.20268120153003</v>
          </cell>
          <cell r="K70">
            <v>963.42330824554415</v>
          </cell>
          <cell r="L70">
            <v>1010.5529059106439</v>
          </cell>
          <cell r="M70">
            <v>919.91542682738338</v>
          </cell>
          <cell r="N70">
            <v>914.11210003587451</v>
          </cell>
          <cell r="O70">
            <v>858.53824081536561</v>
          </cell>
          <cell r="P70">
            <v>901.23543881912076</v>
          </cell>
          <cell r="Q70">
            <v>1028.4781375617481</v>
          </cell>
          <cell r="R70">
            <v>1193.8695577503136</v>
          </cell>
          <cell r="S70">
            <v>1277.0814499591825</v>
          </cell>
          <cell r="T70">
            <v>1210.0136309669717</v>
          </cell>
          <cell r="U70">
            <v>1045.5480315871689</v>
          </cell>
          <cell r="V70">
            <v>1043.7796513141916</v>
          </cell>
          <cell r="W70">
            <v>1055.8448788872231</v>
          </cell>
        </row>
        <row r="71">
          <cell r="B71">
            <v>696.86811833528986</v>
          </cell>
          <cell r="C71">
            <v>680.06464419514737</v>
          </cell>
          <cell r="D71">
            <v>645.97214635470709</v>
          </cell>
          <cell r="E71">
            <v>578.56077084943547</v>
          </cell>
          <cell r="F71">
            <v>652.9010830120111</v>
          </cell>
          <cell r="G71">
            <v>676.00961095546154</v>
          </cell>
          <cell r="H71">
            <v>702.65690264369084</v>
          </cell>
          <cell r="I71">
            <v>724.27381458385526</v>
          </cell>
          <cell r="J71">
            <v>724.14879248032503</v>
          </cell>
          <cell r="K71">
            <v>800.4546122654599</v>
          </cell>
          <cell r="L71">
            <v>859.26857414189521</v>
          </cell>
          <cell r="M71">
            <v>789.47964454394753</v>
          </cell>
          <cell r="N71">
            <v>801.72244938832671</v>
          </cell>
          <cell r="O71">
            <v>814.82987552071768</v>
          </cell>
          <cell r="P71">
            <v>900.43986686129472</v>
          </cell>
          <cell r="Q71">
            <v>1068.6333284549826</v>
          </cell>
          <cell r="R71">
            <v>1265.5805694336848</v>
          </cell>
          <cell r="S71">
            <v>1302.6817914092899</v>
          </cell>
          <cell r="T71">
            <v>1185.1123323887307</v>
          </cell>
          <cell r="U71">
            <v>1007.8126532348934</v>
          </cell>
          <cell r="V71">
            <v>979.55607003420732</v>
          </cell>
        </row>
        <row r="72">
          <cell r="B72">
            <v>1053.7859060926437</v>
          </cell>
          <cell r="C72">
            <v>1002.1420880882284</v>
          </cell>
          <cell r="D72">
            <v>933.85104509219229</v>
          </cell>
          <cell r="E72">
            <v>830.39759162113899</v>
          </cell>
          <cell r="F72">
            <v>883.70911216297498</v>
          </cell>
          <cell r="G72">
            <v>794.25388888214991</v>
          </cell>
          <cell r="H72">
            <v>746.75535154057229</v>
          </cell>
          <cell r="I72">
            <v>728.08661817017082</v>
          </cell>
          <cell r="J72">
            <v>703.46732912409618</v>
          </cell>
          <cell r="K72">
            <v>802.95701042807173</v>
          </cell>
          <cell r="L72">
            <v>919.48370936682511</v>
          </cell>
          <cell r="M72">
            <v>929.91450739155061</v>
          </cell>
          <cell r="N72">
            <v>1004.7950221545722</v>
          </cell>
          <cell r="O72">
            <v>1159.8610621648315</v>
          </cell>
          <cell r="P72">
            <v>1574.5432442172821</v>
          </cell>
          <cell r="Q72">
            <v>1973.5877165471452</v>
          </cell>
          <cell r="R72">
            <v>2264.8863201326099</v>
          </cell>
          <cell r="S72">
            <v>2107.0654513725781</v>
          </cell>
          <cell r="T72">
            <v>1327.3475078024308</v>
          </cell>
          <cell r="U72">
            <v>823.68608556956099</v>
          </cell>
          <cell r="V72">
            <v>836.0727458265435</v>
          </cell>
          <cell r="W72">
            <v>781.23001871335669</v>
          </cell>
        </row>
        <row r="73">
          <cell r="B73">
            <v>636.58334278843734</v>
          </cell>
          <cell r="C73">
            <v>600.84100997418443</v>
          </cell>
          <cell r="D73">
            <v>579.18289869134787</v>
          </cell>
          <cell r="E73">
            <v>522.04803032631582</v>
          </cell>
          <cell r="F73">
            <v>585.6604907216331</v>
          </cell>
          <cell r="G73">
            <v>556.2893163985334</v>
          </cell>
          <cell r="H73">
            <v>557.2292924103964</v>
          </cell>
          <cell r="I73">
            <v>550.63238300173373</v>
          </cell>
          <cell r="J73">
            <v>527.74928137348195</v>
          </cell>
          <cell r="K73">
            <v>547.39959807133835</v>
          </cell>
          <cell r="L73">
            <v>576.60570776167128</v>
          </cell>
          <cell r="M73">
            <v>545.47223077658384</v>
          </cell>
          <cell r="N73">
            <v>531.81590144962024</v>
          </cell>
          <cell r="O73">
            <v>521.98384261603246</v>
          </cell>
          <cell r="P73">
            <v>556.89109293793615</v>
          </cell>
          <cell r="Q73">
            <v>600.0674718581663</v>
          </cell>
          <cell r="R73">
            <v>639.90505113534527</v>
          </cell>
          <cell r="S73">
            <v>654.55843722722409</v>
          </cell>
          <cell r="T73">
            <v>627.67512394500909</v>
          </cell>
          <cell r="U73">
            <v>556.08061789161593</v>
          </cell>
          <cell r="V73">
            <v>551.55391513330596</v>
          </cell>
          <cell r="W73">
            <v>539.9361394386234</v>
          </cell>
        </row>
        <row r="74">
          <cell r="B74">
            <v>1089.3180357954873</v>
          </cell>
          <cell r="C74">
            <v>1017.3204126683879</v>
          </cell>
          <cell r="D74">
            <v>917.4106428257993</v>
          </cell>
          <cell r="E74">
            <v>798.43545244201368</v>
          </cell>
          <cell r="F74">
            <v>853.42521242090265</v>
          </cell>
          <cell r="G74">
            <v>784.90586665083015</v>
          </cell>
          <cell r="H74">
            <v>746.59322489021611</v>
          </cell>
          <cell r="I74">
            <v>736.82429305547714</v>
          </cell>
          <cell r="J74">
            <v>755.6917437862279</v>
          </cell>
          <cell r="K74">
            <v>830.17059044647556</v>
          </cell>
          <cell r="L74">
            <v>954.65068508137813</v>
          </cell>
          <cell r="M74">
            <v>1029.0098580586991</v>
          </cell>
          <cell r="N74">
            <v>1188.017295171175</v>
          </cell>
          <cell r="O74">
            <v>1307.9397190443851</v>
          </cell>
          <cell r="P74">
            <v>1669.8777347005371</v>
          </cell>
          <cell r="Q74">
            <v>1994.1971688267854</v>
          </cell>
          <cell r="R74">
            <v>2108.3617406979165</v>
          </cell>
          <cell r="S74">
            <v>1895.687422167548</v>
          </cell>
          <cell r="T74">
            <v>1201.6229760112601</v>
          </cell>
          <cell r="U74">
            <v>876.01808873269738</v>
          </cell>
          <cell r="V74">
            <v>855.95758157598334</v>
          </cell>
          <cell r="W74">
            <v>757.54263266459816</v>
          </cell>
        </row>
        <row r="75">
          <cell r="B75">
            <v>553.74167279772939</v>
          </cell>
          <cell r="C75">
            <v>536.79571514153872</v>
          </cell>
          <cell r="D75">
            <v>523.52514521021465</v>
          </cell>
          <cell r="E75">
            <v>521.12158423676453</v>
          </cell>
          <cell r="F75">
            <v>673.7747584297847</v>
          </cell>
          <cell r="G75">
            <v>738.98575744434595</v>
          </cell>
          <cell r="H75">
            <v>794.90696669635827</v>
          </cell>
          <cell r="I75">
            <v>815.62223383933156</v>
          </cell>
          <cell r="J75">
            <v>791.40076014335898</v>
          </cell>
          <cell r="K75">
            <v>861.60699864426374</v>
          </cell>
          <cell r="L75">
            <v>937.39894455774095</v>
          </cell>
          <cell r="M75">
            <v>880.96376970565655</v>
          </cell>
          <cell r="N75">
            <v>848.27777595198415</v>
          </cell>
          <cell r="O75">
            <v>795.93374700192999</v>
          </cell>
          <cell r="P75">
            <v>835.99959902230933</v>
          </cell>
          <cell r="Q75">
            <v>918.25079562131657</v>
          </cell>
          <cell r="R75">
            <v>1148.6450783568857</v>
          </cell>
          <cell r="S75">
            <v>1296.666442737941</v>
          </cell>
          <cell r="T75">
            <v>1238.9749238786212</v>
          </cell>
          <cell r="U75">
            <v>1059.6229622621609</v>
          </cell>
          <cell r="V75">
            <v>962.6550803553182</v>
          </cell>
          <cell r="W75">
            <v>848.66538289418509</v>
          </cell>
        </row>
        <row r="76">
          <cell r="B76">
            <v>506.83131956905487</v>
          </cell>
          <cell r="C76">
            <v>477.56309190930983</v>
          </cell>
          <cell r="D76">
            <v>480.54025561189638</v>
          </cell>
          <cell r="E76">
            <v>473.10119543160016</v>
          </cell>
          <cell r="F76">
            <v>534.16069684228523</v>
          </cell>
          <cell r="G76">
            <v>527.26125392445022</v>
          </cell>
          <cell r="H76">
            <v>549.77146649401232</v>
          </cell>
          <cell r="I76">
            <v>551.10898662735951</v>
          </cell>
          <cell r="J76">
            <v>526.1126069027224</v>
          </cell>
          <cell r="K76">
            <v>568.04437822088937</v>
          </cell>
          <cell r="L76">
            <v>633.17143984641177</v>
          </cell>
          <cell r="M76">
            <v>617.70439485206032</v>
          </cell>
          <cell r="N76">
            <v>627.0686387550777</v>
          </cell>
          <cell r="O76">
            <v>620.39388800039501</v>
          </cell>
          <cell r="P76">
            <v>646.39144254302266</v>
          </cell>
          <cell r="Q76">
            <v>708.6992432995288</v>
          </cell>
          <cell r="R76">
            <v>796.28870211943342</v>
          </cell>
          <cell r="S76">
            <v>855.58439882062453</v>
          </cell>
          <cell r="T76">
            <v>819.7128423819338</v>
          </cell>
          <cell r="U76">
            <v>721.8249294011099</v>
          </cell>
          <cell r="V76">
            <v>702.9631460299189</v>
          </cell>
          <cell r="W76">
            <v>689.42726326858372</v>
          </cell>
        </row>
        <row r="77">
          <cell r="B77">
            <v>1460.8080705449854</v>
          </cell>
          <cell r="C77">
            <v>1383.2670273285239</v>
          </cell>
          <cell r="D77">
            <v>1254.0970652109352</v>
          </cell>
          <cell r="E77">
            <v>1092.2708527645402</v>
          </cell>
          <cell r="F77">
            <v>1201.2626966849712</v>
          </cell>
          <cell r="G77">
            <v>1125.3706763389043</v>
          </cell>
          <cell r="H77">
            <v>1131.157655747744</v>
          </cell>
          <cell r="I77">
            <v>1174.5023396279182</v>
          </cell>
          <cell r="J77">
            <v>1226.0090507577313</v>
          </cell>
          <cell r="K77">
            <v>1443.7273555818524</v>
          </cell>
          <cell r="L77">
            <v>1780.4110533533089</v>
          </cell>
          <cell r="M77">
            <v>1782.9703955225912</v>
          </cell>
          <cell r="N77">
            <v>2064.7138046946138</v>
          </cell>
          <cell r="O77">
            <v>2237.4709808004804</v>
          </cell>
          <cell r="P77">
            <v>2904.9826141442818</v>
          </cell>
          <cell r="Q77">
            <v>3207.2296407439248</v>
          </cell>
          <cell r="R77">
            <v>3384.2270157069829</v>
          </cell>
          <cell r="S77">
            <v>3247.6114811348593</v>
          </cell>
          <cell r="T77">
            <v>2217.4335582301555</v>
          </cell>
          <cell r="U77">
            <v>1741.0553021594262</v>
          </cell>
          <cell r="V77">
            <v>1795.7206101704855</v>
          </cell>
          <cell r="W77">
            <v>1679.5368363476323</v>
          </cell>
        </row>
        <row r="78">
          <cell r="B78">
            <v>2066.4505845694252</v>
          </cell>
          <cell r="C78">
            <v>1918.2117227626784</v>
          </cell>
          <cell r="D78">
            <v>1745.4263435869473</v>
          </cell>
          <cell r="E78">
            <v>1546.5344819183429</v>
          </cell>
          <cell r="F78">
            <v>1744.4914042649234</v>
          </cell>
          <cell r="G78">
            <v>1664.9319267150131</v>
          </cell>
          <cell r="H78">
            <v>1721.9471372203395</v>
          </cell>
          <cell r="I78">
            <v>1826.0152318729936</v>
          </cell>
          <cell r="J78">
            <v>1904.6288663531211</v>
          </cell>
          <cell r="K78">
            <v>2243.556352666671</v>
          </cell>
          <cell r="L78">
            <v>2996.6576239782962</v>
          </cell>
          <cell r="M78">
            <v>2843.9175706112546</v>
          </cell>
          <cell r="N78">
            <v>2956.2623728056155</v>
          </cell>
          <cell r="O78">
            <v>2927.7982267823936</v>
          </cell>
          <cell r="P78">
            <v>3382.1852003586209</v>
          </cell>
          <cell r="Q78">
            <v>3794.399690772651</v>
          </cell>
          <cell r="R78">
            <v>4249.6908345387574</v>
          </cell>
          <cell r="S78">
            <v>4470.8342009524558</v>
          </cell>
          <cell r="T78">
            <v>3368.9833655292418</v>
          </cell>
          <cell r="U78">
            <v>2383.3932696514871</v>
          </cell>
          <cell r="V78">
            <v>2443.178713073672</v>
          </cell>
          <cell r="W78">
            <v>2191.1388068387237</v>
          </cell>
        </row>
        <row r="79">
          <cell r="Q79">
            <v>3957.9012657459375</v>
          </cell>
          <cell r="R79">
            <v>4351.9742469332477</v>
          </cell>
          <cell r="S79">
            <v>4680.9531389502999</v>
          </cell>
          <cell r="T79">
            <v>3667.5282145126666</v>
          </cell>
          <cell r="U79">
            <v>2549.2589530663004</v>
          </cell>
          <cell r="V79">
            <v>2779.9156542538772</v>
          </cell>
          <cell r="W79">
            <v>2585.7772924626775</v>
          </cell>
        </row>
        <row r="80">
          <cell r="B80">
            <v>982.52218789983669</v>
          </cell>
          <cell r="C80">
            <v>915.32926381188975</v>
          </cell>
          <cell r="D80">
            <v>863.46542625249106</v>
          </cell>
          <cell r="E80">
            <v>801.21478299034777</v>
          </cell>
          <cell r="F80">
            <v>923.74551654329014</v>
          </cell>
          <cell r="G80">
            <v>902.00214512736432</v>
          </cell>
          <cell r="H80">
            <v>923.31125756578888</v>
          </cell>
          <cell r="I80">
            <v>931.17132238235445</v>
          </cell>
          <cell r="J80">
            <v>1002.6790337691943</v>
          </cell>
          <cell r="K80">
            <v>1174.7195374610919</v>
          </cell>
          <cell r="L80">
            <v>1326.3921760861456</v>
          </cell>
          <cell r="M80">
            <v>1323.2613880955987</v>
          </cell>
          <cell r="N80">
            <v>1302.691883401721</v>
          </cell>
          <cell r="O80">
            <v>1253.7678095074639</v>
          </cell>
          <cell r="P80">
            <v>1447.5190254284903</v>
          </cell>
          <cell r="Q80">
            <v>1676.8116037203281</v>
          </cell>
          <cell r="R80">
            <v>2038.4821930618239</v>
          </cell>
          <cell r="S80">
            <v>2165.1209656810411</v>
          </cell>
          <cell r="T80">
            <v>1933.5046076471156</v>
          </cell>
          <cell r="U80">
            <v>1541.6889223065402</v>
          </cell>
          <cell r="V80">
            <v>1412.2204756784713</v>
          </cell>
          <cell r="W80">
            <v>1278.5515963437379</v>
          </cell>
        </row>
        <row r="81">
          <cell r="B81">
            <v>1014.6607235628971</v>
          </cell>
          <cell r="C81">
            <v>906.07414676476958</v>
          </cell>
          <cell r="D81">
            <v>826.4744440885604</v>
          </cell>
          <cell r="E81">
            <v>722.93074079028884</v>
          </cell>
          <cell r="F81">
            <v>767.70628070019836</v>
          </cell>
          <cell r="G81">
            <v>731.27773911325767</v>
          </cell>
          <cell r="H81">
            <v>719.5180742807338</v>
          </cell>
          <cell r="I81">
            <v>705.36866346837405</v>
          </cell>
          <cell r="J81">
            <v>686.65434092802548</v>
          </cell>
          <cell r="K81">
            <v>747.74783532545962</v>
          </cell>
          <cell r="L81">
            <v>829.243922627595</v>
          </cell>
          <cell r="M81">
            <v>790.37506967046909</v>
          </cell>
          <cell r="N81">
            <v>834.56825041938953</v>
          </cell>
          <cell r="O81">
            <v>851.38597610301849</v>
          </cell>
          <cell r="P81">
            <v>952.01857588900577</v>
          </cell>
          <cell r="Q81">
            <v>1067.1707487570109</v>
          </cell>
          <cell r="R81">
            <v>1173.7228051538002</v>
          </cell>
          <cell r="S81">
            <v>1182.513857441769</v>
          </cell>
          <cell r="T81">
            <v>1082.6651555756948</v>
          </cell>
          <cell r="U81">
            <v>895.2133534375613</v>
          </cell>
          <cell r="V81">
            <v>887.12527322996607</v>
          </cell>
          <cell r="W81">
            <v>821.12454454929207</v>
          </cell>
        </row>
        <row r="82">
          <cell r="B82">
            <v>639.77723450655299</v>
          </cell>
          <cell r="C82">
            <v>597.13897055941516</v>
          </cell>
          <cell r="D82">
            <v>578.84035534632801</v>
          </cell>
          <cell r="E82">
            <v>530.07714433088779</v>
          </cell>
          <cell r="F82">
            <v>588.74020426459936</v>
          </cell>
          <cell r="G82">
            <v>581.21738552207671</v>
          </cell>
          <cell r="H82">
            <v>599.54435788095907</v>
          </cell>
          <cell r="I82">
            <v>624.02886157031685</v>
          </cell>
          <cell r="J82">
            <v>610.62392081668179</v>
          </cell>
          <cell r="K82">
            <v>656.2539181449531</v>
          </cell>
          <cell r="L82">
            <v>729.21710019422028</v>
          </cell>
          <cell r="M82">
            <v>681.42987844757374</v>
          </cell>
          <cell r="N82">
            <v>689.28519617198253</v>
          </cell>
          <cell r="O82">
            <v>641.71827228051097</v>
          </cell>
          <cell r="P82">
            <v>674.8989758324368</v>
          </cell>
          <cell r="Q82">
            <v>748.05660905396621</v>
          </cell>
          <cell r="R82">
            <v>828.55163842722595</v>
          </cell>
          <cell r="S82">
            <v>805.22297482882198</v>
          </cell>
          <cell r="T82">
            <v>712.39368590212177</v>
          </cell>
          <cell r="U82">
            <v>602.91614696041108</v>
          </cell>
          <cell r="V82">
            <v>598.99312332190959</v>
          </cell>
          <cell r="W82">
            <v>543.33625240603999</v>
          </cell>
        </row>
        <row r="83">
          <cell r="B83">
            <v>643.17074071420416</v>
          </cell>
          <cell r="C83">
            <v>576.96283723872568</v>
          </cell>
          <cell r="D83">
            <v>547.84330116733065</v>
          </cell>
          <cell r="E83">
            <v>522.82004994816384</v>
          </cell>
          <cell r="F83">
            <v>567.6954451514257</v>
          </cell>
          <cell r="G83">
            <v>534.47726124544579</v>
          </cell>
          <cell r="H83">
            <v>511.83383031066569</v>
          </cell>
          <cell r="I83">
            <v>502.33687885174442</v>
          </cell>
          <cell r="J83">
            <v>473.29305560682678</v>
          </cell>
          <cell r="K83">
            <v>511.58402280495767</v>
          </cell>
          <cell r="L83">
            <v>531.65168640005618</v>
          </cell>
          <cell r="M83">
            <v>507.5652671454007</v>
          </cell>
          <cell r="N83">
            <v>488.11673329797867</v>
          </cell>
          <cell r="O83">
            <v>496.81842017365938</v>
          </cell>
          <cell r="P83">
            <v>518.57166903351003</v>
          </cell>
          <cell r="Q83">
            <v>577.06466648920696</v>
          </cell>
          <cell r="R83">
            <v>649.20353932885735</v>
          </cell>
          <cell r="S83">
            <v>673.30407317260733</v>
          </cell>
          <cell r="T83">
            <v>643.23843555640963</v>
          </cell>
          <cell r="U83">
            <v>581.68240937647988</v>
          </cell>
          <cell r="V83">
            <v>579.17823421331298</v>
          </cell>
          <cell r="W83">
            <v>551.26981155110502</v>
          </cell>
        </row>
        <row r="84">
          <cell r="B84">
            <v>572.10658511012787</v>
          </cell>
          <cell r="C84">
            <v>526.98531809647909</v>
          </cell>
          <cell r="D84">
            <v>496.80943758214369</v>
          </cell>
          <cell r="E84">
            <v>461.05749354346324</v>
          </cell>
          <cell r="F84">
            <v>521.49961368517791</v>
          </cell>
          <cell r="G84">
            <v>510.04121297201874</v>
          </cell>
          <cell r="H84">
            <v>527.39799685119158</v>
          </cell>
          <cell r="I84">
            <v>532.04496869578179</v>
          </cell>
          <cell r="J84">
            <v>531.17139699091024</v>
          </cell>
          <cell r="K84">
            <v>596.82196647491867</v>
          </cell>
          <cell r="L84">
            <v>741.49236530213034</v>
          </cell>
          <cell r="M84">
            <v>739.63348173153202</v>
          </cell>
          <cell r="N84">
            <v>769.59071545075165</v>
          </cell>
          <cell r="O84">
            <v>759.73087182101926</v>
          </cell>
          <cell r="P84">
            <v>852.57373857469452</v>
          </cell>
          <cell r="Q84">
            <v>1069.4311270009375</v>
          </cell>
          <cell r="R84">
            <v>1271.6387176437984</v>
          </cell>
          <cell r="S84">
            <v>1183.2133634374236</v>
          </cell>
          <cell r="T84">
            <v>934.34001572851037</v>
          </cell>
          <cell r="U84">
            <v>671.95600058207424</v>
          </cell>
          <cell r="V84">
            <v>627.31680390787437</v>
          </cell>
          <cell r="W84">
            <v>586.51754315459493</v>
          </cell>
        </row>
        <row r="85">
          <cell r="B85">
            <v>499.2458272375768</v>
          </cell>
          <cell r="C85">
            <v>508.29000609475656</v>
          </cell>
          <cell r="D85">
            <v>490.30175965640831</v>
          </cell>
          <cell r="E85">
            <v>443.14635328238546</v>
          </cell>
          <cell r="F85">
            <v>502.16579760532255</v>
          </cell>
          <cell r="G85">
            <v>504.30119932120823</v>
          </cell>
          <cell r="H85">
            <v>545.8804382343294</v>
          </cell>
          <cell r="I85">
            <v>550.79125934983927</v>
          </cell>
          <cell r="J85">
            <v>559.73859222211433</v>
          </cell>
          <cell r="K85">
            <v>616.52834887748907</v>
          </cell>
          <cell r="L85">
            <v>686.25367563417467</v>
          </cell>
          <cell r="M85">
            <v>665.01347752132915</v>
          </cell>
          <cell r="N85">
            <v>620.07106114200599</v>
          </cell>
          <cell r="O85">
            <v>586.48679249909242</v>
          </cell>
          <cell r="P85">
            <v>599.18829309782961</v>
          </cell>
          <cell r="Q85">
            <v>618.1506041809472</v>
          </cell>
          <cell r="R85">
            <v>618.490351053317</v>
          </cell>
          <cell r="S85">
            <v>594.54442364088527</v>
          </cell>
          <cell r="T85">
            <v>500.46196139820779</v>
          </cell>
          <cell r="U85">
            <v>397.2524434950812</v>
          </cell>
          <cell r="V85">
            <v>371.35476925172725</v>
          </cell>
          <cell r="W85">
            <v>337.74342895195173</v>
          </cell>
        </row>
        <row r="86">
          <cell r="D86">
            <v>563.08495756779212</v>
          </cell>
          <cell r="E86">
            <v>544.90017059110289</v>
          </cell>
          <cell r="F86">
            <v>653.92766559937809</v>
          </cell>
          <cell r="G86">
            <v>659.77357562317673</v>
          </cell>
          <cell r="H86">
            <v>682.39107134916821</v>
          </cell>
          <cell r="I86">
            <v>679.63223926074409</v>
          </cell>
          <cell r="J86">
            <v>668.20469016419554</v>
          </cell>
          <cell r="K86">
            <v>732.7334619897772</v>
          </cell>
          <cell r="L86">
            <v>801.70751711525634</v>
          </cell>
          <cell r="M86">
            <v>759.780867944286</v>
          </cell>
          <cell r="N86">
            <v>833.56861075543554</v>
          </cell>
          <cell r="O86">
            <v>828.3397471294769</v>
          </cell>
          <cell r="P86">
            <v>937.56592619932576</v>
          </cell>
          <cell r="Q86">
            <v>1217.9521476226021</v>
          </cell>
          <cell r="R86">
            <v>1379.2757487043218</v>
          </cell>
          <cell r="S86">
            <v>1361.2968909292833</v>
          </cell>
          <cell r="T86">
            <v>1112.5737534318448</v>
          </cell>
          <cell r="U86">
            <v>838.67100826245917</v>
          </cell>
          <cell r="V86">
            <v>712.63750893500094</v>
          </cell>
          <cell r="W86">
            <v>606.57814279368733</v>
          </cell>
        </row>
        <row r="87">
          <cell r="B87">
            <v>509.02712885856795</v>
          </cell>
          <cell r="C87">
            <v>483.85655336135835</v>
          </cell>
          <cell r="D87">
            <v>467.69616458275385</v>
          </cell>
          <cell r="E87">
            <v>439.44059826139568</v>
          </cell>
          <cell r="F87">
            <v>506.78538759577418</v>
          </cell>
          <cell r="G87">
            <v>511.18922390220035</v>
          </cell>
          <cell r="H87">
            <v>530.80265488740497</v>
          </cell>
          <cell r="I87">
            <v>536.17549161627687</v>
          </cell>
          <cell r="J87">
            <v>529.8322945567204</v>
          </cell>
          <cell r="K87">
            <v>579.46157452980242</v>
          </cell>
          <cell r="L87">
            <v>656.39491603370971</v>
          </cell>
          <cell r="M87">
            <v>624.12171521413779</v>
          </cell>
          <cell r="N87">
            <v>610.50294481392791</v>
          </cell>
          <cell r="O87">
            <v>586.61924209089455</v>
          </cell>
          <cell r="P87">
            <v>599.98385179634408</v>
          </cell>
          <cell r="Q87">
            <v>637.82930700279724</v>
          </cell>
          <cell r="R87">
            <v>708.37573692393562</v>
          </cell>
          <cell r="S87">
            <v>723.71211411031686</v>
          </cell>
          <cell r="T87">
            <v>710.95011882803976</v>
          </cell>
          <cell r="U87">
            <v>631.4299905572974</v>
          </cell>
          <cell r="V87">
            <v>613.56294683370959</v>
          </cell>
          <cell r="W87">
            <v>583.57078840534973</v>
          </cell>
        </row>
        <row r="88">
          <cell r="C88">
            <v>672.66055055745142</v>
          </cell>
          <cell r="D88">
            <v>647.17092304645746</v>
          </cell>
          <cell r="E88">
            <v>609.28762953237026</v>
          </cell>
          <cell r="F88">
            <v>709.87594353134011</v>
          </cell>
          <cell r="G88">
            <v>679.12561836590157</v>
          </cell>
          <cell r="H88">
            <v>703.79178919618414</v>
          </cell>
          <cell r="I88">
            <v>672.95983298469184</v>
          </cell>
          <cell r="J88">
            <v>649.90382690652541</v>
          </cell>
          <cell r="K88">
            <v>708.49147978947508</v>
          </cell>
          <cell r="L88">
            <v>764.3840759087733</v>
          </cell>
          <cell r="M88">
            <v>719.03836056951604</v>
          </cell>
          <cell r="O88">
            <v>734.47715406576481</v>
          </cell>
          <cell r="P88">
            <v>858.40783569713415</v>
          </cell>
          <cell r="Q88">
            <v>1057.1984331378301</v>
          </cell>
          <cell r="R88">
            <v>1320.667109936863</v>
          </cell>
          <cell r="S88">
            <v>1364.9340898846297</v>
          </cell>
          <cell r="T88">
            <v>1193.6383340222037</v>
          </cell>
          <cell r="U88">
            <v>1009.5113988344416</v>
          </cell>
          <cell r="V88">
            <v>955.66155854238878</v>
          </cell>
          <cell r="W88">
            <v>827.24471615635991</v>
          </cell>
        </row>
        <row r="89">
          <cell r="B89">
            <v>1155.9906287137123</v>
          </cell>
          <cell r="C89">
            <v>1115.9797445617908</v>
          </cell>
          <cell r="D89">
            <v>1042.4264621761204</v>
          </cell>
          <cell r="E89">
            <v>942.34221246263519</v>
          </cell>
          <cell r="F89">
            <v>1041.972643072032</v>
          </cell>
          <cell r="G89">
            <v>988.43035066956804</v>
          </cell>
          <cell r="H89">
            <v>1004.8609951202782</v>
          </cell>
          <cell r="I89">
            <v>1022.3079615808529</v>
          </cell>
          <cell r="J89">
            <v>984.97329077866266</v>
          </cell>
          <cell r="K89">
            <v>1063.0500038145508</v>
          </cell>
          <cell r="L89">
            <v>1164.9890281132211</v>
          </cell>
          <cell r="M89">
            <v>1213.3212684579005</v>
          </cell>
          <cell r="N89">
            <v>1375.2381839666753</v>
          </cell>
          <cell r="O89">
            <v>1460.7865214939325</v>
          </cell>
          <cell r="P89">
            <v>1776.4825605235433</v>
          </cell>
          <cell r="Q89">
            <v>2239.2502312349607</v>
          </cell>
          <cell r="R89">
            <v>2423.9468086269517</v>
          </cell>
          <cell r="S89">
            <v>2393.8456747972673</v>
          </cell>
          <cell r="T89">
            <v>1856.3647694456051</v>
          </cell>
          <cell r="U89">
            <v>1491.8200541552574</v>
          </cell>
          <cell r="V89">
            <v>1508.4976500350865</v>
          </cell>
          <cell r="W89">
            <v>1461.930320454313</v>
          </cell>
        </row>
        <row r="90">
          <cell r="B90">
            <v>500.44352615189979</v>
          </cell>
          <cell r="C90">
            <v>487.37348710334976</v>
          </cell>
          <cell r="D90">
            <v>469.92248054465369</v>
          </cell>
          <cell r="E90">
            <v>439.74941568333128</v>
          </cell>
          <cell r="F90">
            <v>503.36347586478678</v>
          </cell>
          <cell r="G90">
            <v>501.34920050081098</v>
          </cell>
          <cell r="H90">
            <v>523.99334367877805</v>
          </cell>
          <cell r="I90">
            <v>527.59669307907586</v>
          </cell>
          <cell r="J90">
            <v>529.23715643508126</v>
          </cell>
          <cell r="K90">
            <v>571.17238843614507</v>
          </cell>
          <cell r="L90">
            <v>601.9856378291621</v>
          </cell>
          <cell r="M90">
            <v>567.11203199754266</v>
          </cell>
          <cell r="N90">
            <v>560.9486635564823</v>
          </cell>
          <cell r="O90">
            <v>529.40101843244634</v>
          </cell>
          <cell r="P90">
            <v>546.28363699475392</v>
          </cell>
          <cell r="Q90">
            <v>573.47463020701764</v>
          </cell>
          <cell r="R90">
            <v>621.58984711782114</v>
          </cell>
          <cell r="S90">
            <v>643.08722717109413</v>
          </cell>
          <cell r="T90">
            <v>652.30575623435618</v>
          </cell>
          <cell r="U90">
            <v>569.06351689104929</v>
          </cell>
          <cell r="V90">
            <v>547.59093264925423</v>
          </cell>
          <cell r="W90">
            <v>517.72214209815945</v>
          </cell>
        </row>
        <row r="91">
          <cell r="B91">
            <v>1102.2932970048776</v>
          </cell>
          <cell r="C91">
            <v>960.67922813261589</v>
          </cell>
          <cell r="D91">
            <v>875.11073545224701</v>
          </cell>
          <cell r="E91">
            <v>792.25919664713729</v>
          </cell>
          <cell r="F91">
            <v>893.46159969165069</v>
          </cell>
          <cell r="G91">
            <v>851.98200977026238</v>
          </cell>
          <cell r="H91">
            <v>840.95091918484877</v>
          </cell>
          <cell r="I91">
            <v>858.03964196372874</v>
          </cell>
          <cell r="J91">
            <v>824.87794902934081</v>
          </cell>
          <cell r="L91">
            <v>895.54139089010857</v>
          </cell>
          <cell r="M91">
            <v>913.34885153288451</v>
          </cell>
          <cell r="N91">
            <v>1277.2721116644391</v>
          </cell>
          <cell r="O91">
            <v>1328.9992173858566</v>
          </cell>
          <cell r="P91">
            <v>1453.3531490695532</v>
          </cell>
          <cell r="Q91">
            <v>1539.3266256803111</v>
          </cell>
          <cell r="R91">
            <v>1584.2651756930795</v>
          </cell>
          <cell r="S91">
            <v>1526.9299307475139</v>
          </cell>
          <cell r="T91">
            <v>1283.3642087905394</v>
          </cell>
          <cell r="U91">
            <v>1038.6319442217666</v>
          </cell>
          <cell r="V91">
            <v>1033.8721834482317</v>
          </cell>
          <cell r="W91">
            <v>943.75487680634285</v>
          </cell>
        </row>
        <row r="92">
          <cell r="B92">
            <v>406.22361067732771</v>
          </cell>
          <cell r="C92">
            <v>403.89250200234295</v>
          </cell>
          <cell r="D92">
            <v>392.00165307179486</v>
          </cell>
          <cell r="E92">
            <v>376.44278915365584</v>
          </cell>
          <cell r="F92">
            <v>433.72754416504762</v>
          </cell>
          <cell r="G92">
            <v>424.4330159399463</v>
          </cell>
          <cell r="H92">
            <v>451.68485924118733</v>
          </cell>
          <cell r="I92">
            <v>468.49824225718959</v>
          </cell>
          <cell r="J92">
            <v>457.67037787516074</v>
          </cell>
          <cell r="K92">
            <v>469.19965548971862</v>
          </cell>
          <cell r="L92">
            <v>488.35650952991239</v>
          </cell>
          <cell r="M92">
            <v>487.11940240820593</v>
          </cell>
          <cell r="N92">
            <v>482.11882819463318</v>
          </cell>
          <cell r="O92">
            <v>454.16965161342728</v>
          </cell>
          <cell r="P92">
            <v>455.85512761914663</v>
          </cell>
          <cell r="Q92">
            <v>455.003517991867</v>
          </cell>
          <cell r="R92">
            <v>459.00718287179706</v>
          </cell>
          <cell r="S92">
            <v>432.54854920372713</v>
          </cell>
          <cell r="T92">
            <v>372.70747710027007</v>
          </cell>
          <cell r="U92">
            <v>322.87377185371145</v>
          </cell>
          <cell r="V92">
            <v>313.89151857064604</v>
          </cell>
          <cell r="W92">
            <v>322.63186462415331</v>
          </cell>
        </row>
      </sheetData>
      <sheetData sheetId="2" refreshError="1"/>
      <sheetData sheetId="3">
        <row r="6">
          <cell r="B6">
            <v>29942.999499999998</v>
          </cell>
          <cell r="C6">
            <v>30126.000499999998</v>
          </cell>
          <cell r="D6">
            <v>30635.999749999999</v>
          </cell>
          <cell r="E6">
            <v>31241.000499999998</v>
          </cell>
          <cell r="F6">
            <v>32264.000250000001</v>
          </cell>
          <cell r="G6">
            <v>34076</v>
          </cell>
          <cell r="H6">
            <v>35491.999000000003</v>
          </cell>
          <cell r="I6">
            <v>37004.999749999995</v>
          </cell>
          <cell r="J6">
            <v>38885</v>
          </cell>
          <cell r="K6">
            <v>40696.000999999997</v>
          </cell>
          <cell r="L6">
            <v>42348.980499999998</v>
          </cell>
          <cell r="M6">
            <v>42702.990250000003</v>
          </cell>
          <cell r="N6">
            <v>43057</v>
          </cell>
          <cell r="O6">
            <v>43564.000250000005</v>
          </cell>
          <cell r="P6">
            <v>44684</v>
          </cell>
          <cell r="Q6">
            <v>46241.998999999996</v>
          </cell>
          <cell r="R6">
            <v>48451.002250000005</v>
          </cell>
          <cell r="S6">
            <v>50740</v>
          </cell>
          <cell r="T6">
            <v>52028.999250000001</v>
          </cell>
          <cell r="U6">
            <v>50220.998</v>
          </cell>
          <cell r="V6">
            <v>50045.998</v>
          </cell>
          <cell r="W6">
            <v>51905.53125</v>
          </cell>
        </row>
        <row r="7">
          <cell r="B7">
            <v>30552.50475</v>
          </cell>
          <cell r="C7">
            <v>30631.529750000002</v>
          </cell>
          <cell r="D7">
            <v>32624.106999999996</v>
          </cell>
          <cell r="E7">
            <v>32819.631250000006</v>
          </cell>
          <cell r="F7">
            <v>33730.12025</v>
          </cell>
          <cell r="G7">
            <v>37312.49525</v>
          </cell>
          <cell r="H7">
            <v>36662.43275</v>
          </cell>
          <cell r="I7">
            <v>39142.0645</v>
          </cell>
          <cell r="J7">
            <v>42393.165999999997</v>
          </cell>
          <cell r="K7">
            <v>42690.998999999996</v>
          </cell>
          <cell r="L7">
            <v>42461.42</v>
          </cell>
          <cell r="M7">
            <v>42142.9715</v>
          </cell>
          <cell r="N7">
            <v>41796.506999999998</v>
          </cell>
          <cell r="O7">
            <v>42310.111499999992</v>
          </cell>
          <cell r="P7">
            <v>43229.422749999998</v>
          </cell>
          <cell r="Q7">
            <v>44548.865249999995</v>
          </cell>
          <cell r="R7">
            <v>45285.764500000005</v>
          </cell>
          <cell r="S7">
            <v>47312.615250000003</v>
          </cell>
          <cell r="T7">
            <v>48950.636749999998</v>
          </cell>
          <cell r="U7">
            <v>46814.375249999997</v>
          </cell>
          <cell r="V7">
            <v>46418.272749999996</v>
          </cell>
          <cell r="W7">
            <v>47825.198250000001</v>
          </cell>
        </row>
        <row r="8">
          <cell r="B8">
            <v>33604.472500000003</v>
          </cell>
          <cell r="C8">
            <v>33878.30975</v>
          </cell>
          <cell r="D8">
            <v>33160.147499999999</v>
          </cell>
          <cell r="E8">
            <v>33960.009749999997</v>
          </cell>
          <cell r="F8">
            <v>34324.316500000001</v>
          </cell>
          <cell r="G8">
            <v>35721.082999999999</v>
          </cell>
          <cell r="H8">
            <v>38551.297749999998</v>
          </cell>
          <cell r="I8">
            <v>39305.342750000003</v>
          </cell>
          <cell r="J8">
            <v>41490.855499999998</v>
          </cell>
          <cell r="K8">
            <v>44011.421999999991</v>
          </cell>
          <cell r="L8">
            <v>44843.009749999997</v>
          </cell>
          <cell r="M8">
            <v>45317.352499999994</v>
          </cell>
          <cell r="N8">
            <v>46234.414249999994</v>
          </cell>
          <cell r="O8">
            <v>48141.193250000004</v>
          </cell>
          <cell r="P8">
            <v>49879.806750000003</v>
          </cell>
          <cell r="Q8">
            <v>51414.110249999998</v>
          </cell>
          <cell r="R8">
            <v>52559.248749999999</v>
          </cell>
          <cell r="S8">
            <v>53784.475500000008</v>
          </cell>
          <cell r="T8">
            <v>56606.057499999995</v>
          </cell>
          <cell r="U8">
            <v>55674.578249999991</v>
          </cell>
          <cell r="V8">
            <v>55735.232749999996</v>
          </cell>
          <cell r="W8">
            <v>57448.507750000004</v>
          </cell>
        </row>
        <row r="9">
          <cell r="B9">
            <v>29432.884999999998</v>
          </cell>
          <cell r="C9">
            <v>31387.606499999998</v>
          </cell>
          <cell r="D9">
            <v>30761.661250000001</v>
          </cell>
          <cell r="E9">
            <v>31989.062250000003</v>
          </cell>
          <cell r="F9">
            <v>32316.900500000003</v>
          </cell>
          <cell r="G9">
            <v>31330.117250000003</v>
          </cell>
          <cell r="H9">
            <v>30377.861749999996</v>
          </cell>
          <cell r="I9">
            <v>36541.551749999999</v>
          </cell>
          <cell r="J9">
            <v>38408.116000000002</v>
          </cell>
          <cell r="K9">
            <v>38914.808499999999</v>
          </cell>
          <cell r="L9">
            <v>39545.09575</v>
          </cell>
          <cell r="M9">
            <v>40175.922749999998</v>
          </cell>
          <cell r="N9">
            <v>40758.368999999999</v>
          </cell>
          <cell r="O9">
            <v>39440.55975</v>
          </cell>
          <cell r="P9">
            <v>40998.9715</v>
          </cell>
          <cell r="Q9">
            <v>42595.261750000005</v>
          </cell>
          <cell r="R9">
            <v>45776.334999999999</v>
          </cell>
          <cell r="S9">
            <v>46129.957750000001</v>
          </cell>
          <cell r="T9">
            <v>48030.464749999999</v>
          </cell>
          <cell r="U9">
            <v>47401.748999999996</v>
          </cell>
          <cell r="V9">
            <v>46713.589749999999</v>
          </cell>
          <cell r="W9">
            <v>47625.159</v>
          </cell>
        </row>
        <row r="10">
          <cell r="L10">
            <v>45717.951249999998</v>
          </cell>
          <cell r="M10">
            <v>46128.25275</v>
          </cell>
          <cell r="N10">
            <v>46708.124249999993</v>
          </cell>
          <cell r="O10">
            <v>47023.351750000002</v>
          </cell>
          <cell r="P10">
            <v>48928.515750000006</v>
          </cell>
          <cell r="Q10">
            <v>50796.02925</v>
          </cell>
          <cell r="R10">
            <v>52433.177499999998</v>
          </cell>
          <cell r="S10">
            <v>54984.69025</v>
          </cell>
          <cell r="T10">
            <v>57312.63</v>
          </cell>
          <cell r="U10">
            <v>56259.880000000005</v>
          </cell>
          <cell r="V10">
            <v>55800.180499999995</v>
          </cell>
          <cell r="W10">
            <v>57617.750249999997</v>
          </cell>
        </row>
        <row r="11">
          <cell r="B11">
            <v>35853.5245</v>
          </cell>
          <cell r="C11">
            <v>35559.582000000002</v>
          </cell>
          <cell r="D11">
            <v>37805.239499999996</v>
          </cell>
          <cell r="E11">
            <v>41702.582999999999</v>
          </cell>
          <cell r="F11">
            <v>41555.390500000001</v>
          </cell>
          <cell r="G11">
            <v>45131.439499999993</v>
          </cell>
          <cell r="H11">
            <v>43085.5285</v>
          </cell>
          <cell r="I11">
            <v>48689.0605</v>
          </cell>
          <cell r="J11">
            <v>51377.992250000003</v>
          </cell>
          <cell r="K11">
            <v>51847.80975</v>
          </cell>
          <cell r="L11">
            <v>51579.417249999999</v>
          </cell>
          <cell r="M11">
            <v>51485.083999999995</v>
          </cell>
          <cell r="N11">
            <v>51260.70925</v>
          </cell>
          <cell r="O11">
            <v>51781.731249999997</v>
          </cell>
          <cell r="P11">
            <v>51613.439499999993</v>
          </cell>
          <cell r="Q11">
            <v>54487.834999999999</v>
          </cell>
          <cell r="R11">
            <v>56030.267749999999</v>
          </cell>
          <cell r="S11">
            <v>58787.002000000008</v>
          </cell>
          <cell r="T11">
            <v>60882.344499999999</v>
          </cell>
          <cell r="U11">
            <v>56759.051750000006</v>
          </cell>
          <cell r="V11">
            <v>55067.915000000001</v>
          </cell>
          <cell r="W11">
            <v>55672.087250000004</v>
          </cell>
        </row>
        <row r="12">
          <cell r="C12">
            <v>31600.02</v>
          </cell>
          <cell r="D12">
            <v>32848.721250000002</v>
          </cell>
          <cell r="E12">
            <v>34722.757999999994</v>
          </cell>
          <cell r="F12">
            <v>38071.885750000001</v>
          </cell>
          <cell r="G12">
            <v>40426.267500000002</v>
          </cell>
          <cell r="H12">
            <v>42347.843999999997</v>
          </cell>
          <cell r="I12">
            <v>45322.743000000002</v>
          </cell>
          <cell r="J12">
            <v>46394.389499999997</v>
          </cell>
          <cell r="K12">
            <v>48950</v>
          </cell>
          <cell r="L12">
            <v>49275.153250000003</v>
          </cell>
          <cell r="M12">
            <v>50374.044000000002</v>
          </cell>
          <cell r="N12">
            <v>50765.778250000003</v>
          </cell>
          <cell r="O12">
            <v>49224.134750000005</v>
          </cell>
          <cell r="P12">
            <v>49935.518500000006</v>
          </cell>
          <cell r="Q12">
            <v>50190.140500000001</v>
          </cell>
          <cell r="R12">
            <v>53367.910250000008</v>
          </cell>
          <cell r="S12">
            <v>56447.862999999998</v>
          </cell>
          <cell r="T12">
            <v>59097.357500000006</v>
          </cell>
          <cell r="U12">
            <v>56817.002</v>
          </cell>
          <cell r="V12">
            <v>56613.024499999992</v>
          </cell>
          <cell r="W12">
            <v>58503.309500000003</v>
          </cell>
        </row>
        <row r="13">
          <cell r="B13">
            <v>38905.0625</v>
          </cell>
          <cell r="C13">
            <v>36846.882999999994</v>
          </cell>
          <cell r="D13">
            <v>36949.104749999999</v>
          </cell>
          <cell r="E13">
            <v>39521.224499999997</v>
          </cell>
          <cell r="F13">
            <v>38659.868000000002</v>
          </cell>
          <cell r="G13">
            <v>40337.995749999995</v>
          </cell>
          <cell r="H13">
            <v>43084.376000000004</v>
          </cell>
          <cell r="I13">
            <v>45549.1345</v>
          </cell>
          <cell r="J13">
            <v>48608.313499999997</v>
          </cell>
          <cell r="K13">
            <v>49937.998999999996</v>
          </cell>
          <cell r="L13">
            <v>50782.874249999993</v>
          </cell>
          <cell r="M13">
            <v>51337.931750000003</v>
          </cell>
          <cell r="N13">
            <v>52112.29</v>
          </cell>
          <cell r="O13">
            <v>53694.458749999998</v>
          </cell>
          <cell r="P13">
            <v>54111.929749999996</v>
          </cell>
          <cell r="Q13">
            <v>58186.388749999998</v>
          </cell>
          <cell r="R13">
            <v>61849.3125</v>
          </cell>
          <cell r="S13">
            <v>64780.782500000001</v>
          </cell>
          <cell r="T13">
            <v>67253.084000000003</v>
          </cell>
          <cell r="U13">
            <v>66062.430500000002</v>
          </cell>
          <cell r="V13">
            <v>65825.747999999992</v>
          </cell>
          <cell r="W13">
            <v>68154.713250000001</v>
          </cell>
        </row>
        <row r="14">
          <cell r="B14">
            <v>25814.190749999998</v>
          </cell>
          <cell r="C14">
            <v>29065.735500000003</v>
          </cell>
          <cell r="D14">
            <v>29146.066500000001</v>
          </cell>
          <cell r="E14">
            <v>30060.556250000001</v>
          </cell>
          <cell r="F14">
            <v>29268.763250000004</v>
          </cell>
          <cell r="G14">
            <v>31818.155249999996</v>
          </cell>
          <cell r="H14">
            <v>34425.954250000003</v>
          </cell>
          <cell r="I14">
            <v>37851.585999999996</v>
          </cell>
          <cell r="J14">
            <v>36177.358249999997</v>
          </cell>
          <cell r="K14">
            <v>37293.574249999998</v>
          </cell>
          <cell r="L14">
            <v>37633.136499999993</v>
          </cell>
          <cell r="M14">
            <v>37927.254999999997</v>
          </cell>
          <cell r="N14">
            <v>38174.962</v>
          </cell>
          <cell r="O14">
            <v>38919.214749999999</v>
          </cell>
          <cell r="P14">
            <v>39753.90625</v>
          </cell>
          <cell r="Q14">
            <v>41462.936499999996</v>
          </cell>
          <cell r="R14">
            <v>44244.655000000006</v>
          </cell>
          <cell r="S14">
            <v>46166.12025</v>
          </cell>
          <cell r="T14">
            <v>49655.237250000006</v>
          </cell>
          <cell r="U14">
            <v>48080.970750000008</v>
          </cell>
          <cell r="V14">
            <v>48341.145750000003</v>
          </cell>
          <cell r="W14">
            <v>50684.114000000001</v>
          </cell>
        </row>
        <row r="15">
          <cell r="B15">
            <v>27923.09575</v>
          </cell>
          <cell r="C15">
            <v>28680.445</v>
          </cell>
          <cell r="D15">
            <v>29964.284250000001</v>
          </cell>
          <cell r="E15">
            <v>28709.652750000001</v>
          </cell>
          <cell r="F15">
            <v>30693.277249999999</v>
          </cell>
          <cell r="G15">
            <v>28902.522000000001</v>
          </cell>
          <cell r="H15">
            <v>33172.587499999994</v>
          </cell>
          <cell r="I15">
            <v>34409.902500000004</v>
          </cell>
          <cell r="J15">
            <v>38406.082999999999</v>
          </cell>
          <cell r="K15">
            <v>38444.585000000006</v>
          </cell>
          <cell r="L15">
            <v>38949.995999999999</v>
          </cell>
          <cell r="M15">
            <v>39511.440500000004</v>
          </cell>
          <cell r="N15">
            <v>40248.466</v>
          </cell>
          <cell r="O15">
            <v>40195.982250000001</v>
          </cell>
          <cell r="P15">
            <v>41954.9375</v>
          </cell>
          <cell r="Q15">
            <v>42342.315500000004</v>
          </cell>
          <cell r="R15">
            <v>44605.377999999997</v>
          </cell>
          <cell r="S15">
            <v>46980.399250000002</v>
          </cell>
          <cell r="T15">
            <v>49383.138500000001</v>
          </cell>
          <cell r="U15">
            <v>46568.1495</v>
          </cell>
          <cell r="V15">
            <v>45913.36825</v>
          </cell>
          <cell r="W15">
            <v>46741.322249999997</v>
          </cell>
        </row>
        <row r="16">
          <cell r="B16">
            <v>28908.588250000001</v>
          </cell>
          <cell r="C16">
            <v>30076.623500000002</v>
          </cell>
          <cell r="D16">
            <v>32150.236249999994</v>
          </cell>
          <cell r="E16">
            <v>36224.208250000003</v>
          </cell>
          <cell r="F16">
            <v>37032.903250000003</v>
          </cell>
          <cell r="G16">
            <v>38516.631000000001</v>
          </cell>
          <cell r="H16">
            <v>41001.042249999999</v>
          </cell>
          <cell r="I16">
            <v>39471.230250000001</v>
          </cell>
          <cell r="J16">
            <v>43276.489249999999</v>
          </cell>
          <cell r="K16">
            <v>42566.516500000005</v>
          </cell>
          <cell r="L16">
            <v>42281.571500000005</v>
          </cell>
          <cell r="M16">
            <v>42350.239249999999</v>
          </cell>
          <cell r="N16">
            <v>42209.266750000003</v>
          </cell>
          <cell r="O16">
            <v>44724.080999999998</v>
          </cell>
          <cell r="P16">
            <v>45169.923000000003</v>
          </cell>
          <cell r="Q16">
            <v>47035.665999999997</v>
          </cell>
          <cell r="R16">
            <v>48755.047750000005</v>
          </cell>
          <cell r="S16">
            <v>52136.835999999996</v>
          </cell>
          <cell r="T16">
            <v>52961.905249999996</v>
          </cell>
          <cell r="U16">
            <v>49224.772500000006</v>
          </cell>
          <cell r="V16">
            <v>47412.404250000007</v>
          </cell>
          <cell r="W16">
            <v>48245.784999999996</v>
          </cell>
        </row>
        <row r="17">
          <cell r="B17">
            <v>41182.06525</v>
          </cell>
          <cell r="C17">
            <v>40842.973750000005</v>
          </cell>
          <cell r="D17">
            <v>42459.580999999998</v>
          </cell>
          <cell r="E17">
            <v>43703.495000000003</v>
          </cell>
          <cell r="F17">
            <v>47836.589</v>
          </cell>
          <cell r="G17">
            <v>46696.59375</v>
          </cell>
          <cell r="H17">
            <v>48366.939499999993</v>
          </cell>
          <cell r="K17">
            <v>55025.768499999998</v>
          </cell>
          <cell r="L17">
            <v>56736.751999999993</v>
          </cell>
          <cell r="M17">
            <v>58541.59375</v>
          </cell>
          <cell r="N17">
            <v>60224.152499999997</v>
          </cell>
          <cell r="O17">
            <v>58429.200000000004</v>
          </cell>
          <cell r="P17">
            <v>60448.389500000005</v>
          </cell>
          <cell r="Q17">
            <v>62038.364499999996</v>
          </cell>
          <cell r="R17">
            <v>65045.035250000001</v>
          </cell>
          <cell r="S17">
            <v>67786.845499999996</v>
          </cell>
          <cell r="T17">
            <v>70916.060750000004</v>
          </cell>
          <cell r="U17">
            <v>69556.730249999993</v>
          </cell>
          <cell r="V17">
            <v>67806.037249999994</v>
          </cell>
          <cell r="W17">
            <v>69343.791250000009</v>
          </cell>
        </row>
        <row r="18">
          <cell r="N18">
            <v>68176.117249999996</v>
          </cell>
          <cell r="O18">
            <v>67136.96875</v>
          </cell>
          <cell r="P18">
            <v>69280.105750000002</v>
          </cell>
          <cell r="Q18">
            <v>69974.455249999999</v>
          </cell>
          <cell r="R18">
            <v>74606.179499999998</v>
          </cell>
          <cell r="S18">
            <v>80004.189750000005</v>
          </cell>
          <cell r="T18">
            <v>84124.166249999995</v>
          </cell>
          <cell r="U18">
            <v>81477.90625</v>
          </cell>
          <cell r="V18">
            <v>76825.136499999993</v>
          </cell>
          <cell r="W18">
            <v>76483.140749999991</v>
          </cell>
        </row>
        <row r="19">
          <cell r="B19">
            <v>28488.980500000001</v>
          </cell>
          <cell r="C19">
            <v>28857.460500000001</v>
          </cell>
          <cell r="D19">
            <v>28418.802499999998</v>
          </cell>
          <cell r="E19">
            <v>29297.928499999998</v>
          </cell>
          <cell r="F19">
            <v>29797.351499999997</v>
          </cell>
          <cell r="G19">
            <v>31181.79925</v>
          </cell>
          <cell r="H19">
            <v>33790.906499999997</v>
          </cell>
          <cell r="I19">
            <v>34518.865250000003</v>
          </cell>
          <cell r="J19">
            <v>36415.105250000001</v>
          </cell>
          <cell r="K19">
            <v>38487.999000000003</v>
          </cell>
          <cell r="L19">
            <v>38998.254999999997</v>
          </cell>
          <cell r="M19">
            <v>39265.149250000002</v>
          </cell>
          <cell r="N19">
            <v>39723.619000000006</v>
          </cell>
          <cell r="O19">
            <v>41406.620000000003</v>
          </cell>
          <cell r="P19">
            <v>43031.793999999994</v>
          </cell>
          <cell r="Q19">
            <v>43992.177500000005</v>
          </cell>
          <cell r="R19">
            <v>43961.03325</v>
          </cell>
          <cell r="S19">
            <v>44158.059499999996</v>
          </cell>
          <cell r="T19">
            <v>46300.960999999996</v>
          </cell>
          <cell r="U19">
            <v>45480.699000000008</v>
          </cell>
          <cell r="V19">
            <v>45730.205249999999</v>
          </cell>
          <cell r="W19">
            <v>46799.03125</v>
          </cell>
        </row>
        <row r="20">
          <cell r="B20">
            <v>29665.297999999999</v>
          </cell>
          <cell r="C20">
            <v>30528.018250000001</v>
          </cell>
          <cell r="D20">
            <v>30852.995499999997</v>
          </cell>
          <cell r="E20">
            <v>32401.700749999996</v>
          </cell>
          <cell r="F20">
            <v>33419.282500000001</v>
          </cell>
          <cell r="G20">
            <v>34074.980499999998</v>
          </cell>
          <cell r="H20">
            <v>35193.477500000001</v>
          </cell>
          <cell r="I20">
            <v>37306.06925</v>
          </cell>
          <cell r="J20">
            <v>40082.660250000001</v>
          </cell>
          <cell r="K20">
            <v>40318.998749999999</v>
          </cell>
          <cell r="L20">
            <v>40258.671000000002</v>
          </cell>
          <cell r="M20">
            <v>40620.8145</v>
          </cell>
          <cell r="N20">
            <v>41130.697500000002</v>
          </cell>
          <cell r="O20">
            <v>42288.671999999999</v>
          </cell>
          <cell r="P20">
            <v>44230.517749999999</v>
          </cell>
          <cell r="Q20">
            <v>45830.324249999998</v>
          </cell>
          <cell r="R20">
            <v>49223.450249999994</v>
          </cell>
          <cell r="S20">
            <v>51451.5605</v>
          </cell>
          <cell r="T20">
            <v>51052.135750000001</v>
          </cell>
          <cell r="U20">
            <v>46909.035250000001</v>
          </cell>
          <cell r="V20">
            <v>45528.19225</v>
          </cell>
          <cell r="W20">
            <v>44879.177750000003</v>
          </cell>
        </row>
        <row r="21">
          <cell r="B21">
            <v>32597.80025</v>
          </cell>
          <cell r="C21">
            <v>31035.0435</v>
          </cell>
          <cell r="D21">
            <v>31044.083000000002</v>
          </cell>
          <cell r="E21">
            <v>29232.757749999997</v>
          </cell>
          <cell r="F21">
            <v>33395.679499999998</v>
          </cell>
          <cell r="G21">
            <v>32436.240999999998</v>
          </cell>
          <cell r="H21">
            <v>38601.761750000005</v>
          </cell>
          <cell r="I21">
            <v>38118.232750000003</v>
          </cell>
          <cell r="J21">
            <v>37019.629000000001</v>
          </cell>
          <cell r="K21">
            <v>39491</v>
          </cell>
          <cell r="L21">
            <v>39934.978499999997</v>
          </cell>
          <cell r="M21">
            <v>40415.515749999999</v>
          </cell>
          <cell r="N21">
            <v>40953.671999999999</v>
          </cell>
          <cell r="O21">
            <v>41704.883000000002</v>
          </cell>
          <cell r="P21">
            <v>43436.766750000003</v>
          </cell>
          <cell r="Q21">
            <v>43408.957999999999</v>
          </cell>
          <cell r="R21">
            <v>45828.834999999999</v>
          </cell>
          <cell r="S21">
            <v>48705.172000000006</v>
          </cell>
          <cell r="T21">
            <v>50743.952249999995</v>
          </cell>
          <cell r="U21">
            <v>48405.044749999994</v>
          </cell>
          <cell r="V21">
            <v>48055.722499999996</v>
          </cell>
          <cell r="W21">
            <v>48778.112499999996</v>
          </cell>
        </row>
        <row r="22">
          <cell r="B22">
            <v>32872.255250000002</v>
          </cell>
          <cell r="C22">
            <v>33497.395749999996</v>
          </cell>
          <cell r="D22">
            <v>34769.627999999997</v>
          </cell>
          <cell r="E22">
            <v>35941.070500000002</v>
          </cell>
          <cell r="F22">
            <v>38202.267749999999</v>
          </cell>
          <cell r="G22">
            <v>40410.804750000003</v>
          </cell>
          <cell r="H22">
            <v>45566.759749999997</v>
          </cell>
          <cell r="I22">
            <v>45971.865250000003</v>
          </cell>
          <cell r="J22">
            <v>45972.44225</v>
          </cell>
          <cell r="K22">
            <v>47428.444499999998</v>
          </cell>
          <cell r="L22">
            <v>47072.933499999999</v>
          </cell>
          <cell r="M22">
            <v>46969.446250000001</v>
          </cell>
          <cell r="N22">
            <v>46875.898500000003</v>
          </cell>
          <cell r="O22">
            <v>46887.570250000004</v>
          </cell>
          <cell r="P22">
            <v>48036.072</v>
          </cell>
          <cell r="Q22">
            <v>48623.792000000001</v>
          </cell>
          <cell r="R22">
            <v>50396.166750000004</v>
          </cell>
          <cell r="S22">
            <v>52781.6495</v>
          </cell>
          <cell r="T22">
            <v>55022.175000000003</v>
          </cell>
          <cell r="U22">
            <v>51665.292750000001</v>
          </cell>
          <cell r="V22">
            <v>50791.201999999997</v>
          </cell>
          <cell r="W22">
            <v>52015.812250000003</v>
          </cell>
        </row>
        <row r="23">
          <cell r="B23">
            <v>25750.55675</v>
          </cell>
          <cell r="C23">
            <v>27114.545999999998</v>
          </cell>
          <cell r="D23">
            <v>27201.766500000002</v>
          </cell>
          <cell r="E23">
            <v>28349.780499999997</v>
          </cell>
          <cell r="F23">
            <v>31067.7045</v>
          </cell>
          <cell r="G23">
            <v>31755.428749999999</v>
          </cell>
          <cell r="H23">
            <v>32566.120999999999</v>
          </cell>
          <cell r="I23">
            <v>33119.715750000003</v>
          </cell>
          <cell r="J23">
            <v>35974.537249999994</v>
          </cell>
          <cell r="K23">
            <v>37498.541000000005</v>
          </cell>
          <cell r="L23">
            <v>37571.815500000004</v>
          </cell>
          <cell r="M23">
            <v>37800.30975</v>
          </cell>
          <cell r="N23">
            <v>38014.222750000001</v>
          </cell>
          <cell r="O23">
            <v>38948.317499999997</v>
          </cell>
          <cell r="P23">
            <v>39394.440499999997</v>
          </cell>
          <cell r="Q23">
            <v>40001.4355</v>
          </cell>
          <cell r="R23">
            <v>41139.093749999993</v>
          </cell>
          <cell r="S23">
            <v>43290.780500000001</v>
          </cell>
          <cell r="T23">
            <v>44843.525500000003</v>
          </cell>
          <cell r="U23">
            <v>42500.230500000005</v>
          </cell>
          <cell r="V23">
            <v>42083.179499999998</v>
          </cell>
          <cell r="W23">
            <v>43151.972750000001</v>
          </cell>
        </row>
        <row r="24">
          <cell r="B24">
            <v>37280.422749999998</v>
          </cell>
          <cell r="C24">
            <v>36576.391750000003</v>
          </cell>
          <cell r="D24">
            <v>36351.013500000001</v>
          </cell>
          <cell r="E24">
            <v>37721.754000000001</v>
          </cell>
          <cell r="F24">
            <v>39905.917000000001</v>
          </cell>
          <cell r="G24">
            <v>43544.158249999993</v>
          </cell>
          <cell r="H24">
            <v>45120.0285</v>
          </cell>
          <cell r="I24">
            <v>47106.473749999997</v>
          </cell>
          <cell r="J24">
            <v>49019.554750000003</v>
          </cell>
          <cell r="K24">
            <v>51426.858250000005</v>
          </cell>
          <cell r="L24">
            <v>51289.494250000003</v>
          </cell>
          <cell r="M24">
            <v>51237.5965</v>
          </cell>
          <cell r="N24">
            <v>51035.879749999993</v>
          </cell>
          <cell r="O24">
            <v>52235.031999999992</v>
          </cell>
          <cell r="P24">
            <v>52970.844499999999</v>
          </cell>
          <cell r="Q24">
            <v>54649.5965</v>
          </cell>
          <cell r="R24">
            <v>56920.205000000002</v>
          </cell>
          <cell r="S24">
            <v>59551.87775</v>
          </cell>
          <cell r="T24">
            <v>61715.189249999996</v>
          </cell>
          <cell r="U24">
            <v>58994.315499999997</v>
          </cell>
          <cell r="V24">
            <v>57650.017500000002</v>
          </cell>
          <cell r="W24">
            <v>58191.87975</v>
          </cell>
        </row>
        <row r="25">
          <cell r="B25">
            <v>32009.080249999999</v>
          </cell>
          <cell r="C25">
            <v>31886.866000000002</v>
          </cell>
          <cell r="D25">
            <v>33551.022750000004</v>
          </cell>
          <cell r="E25">
            <v>33948.62975</v>
          </cell>
          <cell r="F25">
            <v>35131.580249999999</v>
          </cell>
          <cell r="G25">
            <v>39039.810499999992</v>
          </cell>
          <cell r="H25">
            <v>39157.547999999995</v>
          </cell>
          <cell r="I25">
            <v>41575.505750000004</v>
          </cell>
          <cell r="J25">
            <v>44913.976749999994</v>
          </cell>
          <cell r="K25">
            <v>44766.159249999997</v>
          </cell>
          <cell r="L25">
            <v>44699.571250000001</v>
          </cell>
          <cell r="M25">
            <v>44779.775999999998</v>
          </cell>
          <cell r="N25">
            <v>44999.553999999996</v>
          </cell>
          <cell r="O25">
            <v>45798.383749999994</v>
          </cell>
          <cell r="P25">
            <v>47016.154250000007</v>
          </cell>
          <cell r="Q25">
            <v>48644.953999999998</v>
          </cell>
          <cell r="R25">
            <v>49997.259749999997</v>
          </cell>
          <cell r="S25">
            <v>52111.65425</v>
          </cell>
          <cell r="T25">
            <v>53856.782000000007</v>
          </cell>
          <cell r="U25">
            <v>51461.712</v>
          </cell>
          <cell r="V25">
            <v>51292.598750000005</v>
          </cell>
          <cell r="W25">
            <v>52875.289000000004</v>
          </cell>
        </row>
        <row r="26">
          <cell r="B26">
            <v>31725.86175</v>
          </cell>
          <cell r="C26">
            <v>31644.62125</v>
          </cell>
          <cell r="D26">
            <v>33524.942500000005</v>
          </cell>
          <cell r="E26">
            <v>33542.090750000003</v>
          </cell>
          <cell r="F26">
            <v>34306.132749999997</v>
          </cell>
          <cell r="G26">
            <v>37789.818250000004</v>
          </cell>
          <cell r="H26">
            <v>36993.383750000001</v>
          </cell>
          <cell r="I26">
            <v>39368.257750000004</v>
          </cell>
          <cell r="J26">
            <v>42515.657999999996</v>
          </cell>
          <cell r="K26">
            <v>42715.455249999999</v>
          </cell>
          <cell r="L26">
            <v>42436.852499999994</v>
          </cell>
          <cell r="M26">
            <v>42161.330500000004</v>
          </cell>
          <cell r="O26">
            <v>42299.194499999998</v>
          </cell>
          <cell r="P26">
            <v>43181.277499999997</v>
          </cell>
          <cell r="Q26">
            <v>44377.678500000009</v>
          </cell>
          <cell r="R26">
            <v>45584.617249999996</v>
          </cell>
          <cell r="S26">
            <v>47795.067250000007</v>
          </cell>
          <cell r="T26">
            <v>49220.562749999997</v>
          </cell>
          <cell r="U26">
            <v>46130.684250000006</v>
          </cell>
          <cell r="V26">
            <v>45574.097500000003</v>
          </cell>
          <cell r="W26">
            <v>47096.237500000003</v>
          </cell>
        </row>
        <row r="27">
          <cell r="D27">
            <v>34311.502999999997</v>
          </cell>
          <cell r="E27">
            <v>36041.396500000003</v>
          </cell>
          <cell r="F27">
            <v>39094.4395</v>
          </cell>
          <cell r="G27">
            <v>41580.283499999998</v>
          </cell>
          <cell r="H27">
            <v>41340.200000000004</v>
          </cell>
          <cell r="I27">
            <v>43117.394749999999</v>
          </cell>
          <cell r="J27">
            <v>45932.098749999997</v>
          </cell>
          <cell r="K27">
            <v>46976.510999999999</v>
          </cell>
          <cell r="L27">
            <v>47417.4035</v>
          </cell>
          <cell r="M27">
            <v>47847.613499999999</v>
          </cell>
          <cell r="N27">
            <v>48414.581250000003</v>
          </cell>
          <cell r="O27">
            <v>50621.680499999995</v>
          </cell>
          <cell r="P27">
            <v>48308.501749999996</v>
          </cell>
          <cell r="Q27">
            <v>50763.434500000003</v>
          </cell>
          <cell r="R27">
            <v>52348.906999999999</v>
          </cell>
          <cell r="S27">
            <v>55538.05775</v>
          </cell>
          <cell r="T27">
            <v>57662.0645</v>
          </cell>
          <cell r="U27">
            <v>55560.142500000002</v>
          </cell>
          <cell r="V27">
            <v>53117.777499999997</v>
          </cell>
          <cell r="W27">
            <v>54333.024250000002</v>
          </cell>
        </row>
        <row r="28">
          <cell r="B28">
            <v>34023.183499999999</v>
          </cell>
          <cell r="C28">
            <v>32356.660999999996</v>
          </cell>
          <cell r="D28">
            <v>32329.337</v>
          </cell>
          <cell r="E28">
            <v>30394.803749999999</v>
          </cell>
          <cell r="F28">
            <v>34672.359499999999</v>
          </cell>
          <cell r="G28">
            <v>33651.128250000002</v>
          </cell>
          <cell r="H28">
            <v>40009.753750000003</v>
          </cell>
          <cell r="I28">
            <v>39471.707999999999</v>
          </cell>
          <cell r="J28">
            <v>38298.817499999997</v>
          </cell>
          <cell r="K28">
            <v>40823.506999999998</v>
          </cell>
          <cell r="L28">
            <v>41262.671999999999</v>
          </cell>
          <cell r="M28">
            <v>41669.535250000001</v>
          </cell>
          <cell r="N28">
            <v>42067.925749999995</v>
          </cell>
          <cell r="O28">
            <v>42483.147499999999</v>
          </cell>
          <cell r="P28">
            <v>43586.4925</v>
          </cell>
          <cell r="Q28">
            <v>42884.004999999997</v>
          </cell>
          <cell r="R28">
            <v>45136.963750000003</v>
          </cell>
          <cell r="S28">
            <v>47761.406999999999</v>
          </cell>
          <cell r="T28">
            <v>49177.460999999996</v>
          </cell>
          <cell r="U28">
            <v>46608.94225</v>
          </cell>
          <cell r="V28">
            <v>46194.150500000003</v>
          </cell>
          <cell r="W28">
            <v>46732.198499999999</v>
          </cell>
        </row>
        <row r="29">
          <cell r="B29">
            <v>32034.0275</v>
          </cell>
          <cell r="C29">
            <v>32091.518</v>
          </cell>
          <cell r="D29">
            <v>34124.6495</v>
          </cell>
          <cell r="E29">
            <v>34277.909249999997</v>
          </cell>
          <cell r="F29">
            <v>35193.683499999999</v>
          </cell>
          <cell r="G29">
            <v>38910.748749999999</v>
          </cell>
          <cell r="H29">
            <v>38259.515499999994</v>
          </cell>
          <cell r="I29">
            <v>40912.710749999998</v>
          </cell>
          <cell r="J29">
            <v>44433.719749999997</v>
          </cell>
          <cell r="K29">
            <v>44912.082249999999</v>
          </cell>
          <cell r="L29">
            <v>45017.452250000002</v>
          </cell>
          <cell r="M29">
            <v>45533.245000000003</v>
          </cell>
          <cell r="N29">
            <v>45872.139750000002</v>
          </cell>
          <cell r="O29">
            <v>46732.864000000001</v>
          </cell>
          <cell r="P29">
            <v>47609.487249999998</v>
          </cell>
          <cell r="Q29">
            <v>48947.53125</v>
          </cell>
          <cell r="R29">
            <v>49985.822249999997</v>
          </cell>
          <cell r="S29">
            <v>52155.135750000001</v>
          </cell>
          <cell r="T29">
            <v>54008.554499999998</v>
          </cell>
          <cell r="U29">
            <v>51273.267500000002</v>
          </cell>
          <cell r="V29">
            <v>51394.408249999993</v>
          </cell>
          <cell r="W29">
            <v>53175.167750000001</v>
          </cell>
        </row>
        <row r="30">
          <cell r="B30">
            <v>35351.1855</v>
          </cell>
          <cell r="C30">
            <v>34687.793750000004</v>
          </cell>
          <cell r="D30">
            <v>34931.375999999997</v>
          </cell>
          <cell r="E30">
            <v>35905.455999999998</v>
          </cell>
          <cell r="F30">
            <v>38464.928749999999</v>
          </cell>
          <cell r="G30">
            <v>40128.548749999994</v>
          </cell>
          <cell r="H30">
            <v>41500.50475</v>
          </cell>
          <cell r="I30">
            <v>44163.403250000003</v>
          </cell>
          <cell r="J30">
            <v>45271.381000000001</v>
          </cell>
          <cell r="K30">
            <v>48206.751000000004</v>
          </cell>
          <cell r="L30">
            <v>48998.215499999998</v>
          </cell>
          <cell r="M30">
            <v>49451.005750000004</v>
          </cell>
          <cell r="N30">
            <v>49964.036000000007</v>
          </cell>
          <cell r="O30">
            <v>48875.178499999995</v>
          </cell>
          <cell r="P30">
            <v>50153.6005</v>
          </cell>
          <cell r="Q30">
            <v>50233.663249999998</v>
          </cell>
          <cell r="R30">
            <v>53221.898249999998</v>
          </cell>
          <cell r="S30">
            <v>55784.510750000001</v>
          </cell>
          <cell r="T30">
            <v>58379.722500000003</v>
          </cell>
          <cell r="U30">
            <v>55971.647499999999</v>
          </cell>
          <cell r="V30">
            <v>56067.699250000005</v>
          </cell>
          <cell r="W30">
            <v>57989.04</v>
          </cell>
        </row>
        <row r="31">
          <cell r="B31">
            <v>31967.625749999999</v>
          </cell>
          <cell r="C31">
            <v>31671.839249999997</v>
          </cell>
          <cell r="D31">
            <v>33309.390500000001</v>
          </cell>
          <cell r="E31">
            <v>33110.218500000003</v>
          </cell>
          <cell r="F31">
            <v>33668.916250000002</v>
          </cell>
          <cell r="G31">
            <v>36927.0625</v>
          </cell>
          <cell r="H31">
            <v>36051.888749999998</v>
          </cell>
          <cell r="I31">
            <v>38361.342000000004</v>
          </cell>
          <cell r="J31">
            <v>41574.166249999995</v>
          </cell>
          <cell r="K31">
            <v>42070.289250000002</v>
          </cell>
          <cell r="L31">
            <v>42146.082249999999</v>
          </cell>
          <cell r="M31">
            <v>41981.896500000003</v>
          </cell>
          <cell r="N31">
            <v>41925.646250000005</v>
          </cell>
          <cell r="O31">
            <v>42464.466</v>
          </cell>
          <cell r="P31">
            <v>43184.594750000004</v>
          </cell>
          <cell r="Q31">
            <v>44278.14675</v>
          </cell>
          <cell r="R31">
            <v>45076.963000000003</v>
          </cell>
          <cell r="S31">
            <v>46867.211750000002</v>
          </cell>
          <cell r="T31">
            <v>48101.275249999999</v>
          </cell>
          <cell r="U31">
            <v>45294.714750000006</v>
          </cell>
          <cell r="V31">
            <v>44532.743000000002</v>
          </cell>
          <cell r="W31">
            <v>45801.25275</v>
          </cell>
        </row>
        <row r="32">
          <cell r="B32">
            <v>36759.514500000005</v>
          </cell>
          <cell r="C32">
            <v>37108.446499999998</v>
          </cell>
          <cell r="D32">
            <v>37675.511749999998</v>
          </cell>
          <cell r="E32">
            <v>39442.769500000002</v>
          </cell>
          <cell r="F32">
            <v>42726.529250000007</v>
          </cell>
          <cell r="G32">
            <v>45434.427749999995</v>
          </cell>
          <cell r="H32">
            <v>45178.948250000001</v>
          </cell>
          <cell r="I32">
            <v>47181.009749999997</v>
          </cell>
          <cell r="J32">
            <v>50356.393499999991</v>
          </cell>
          <cell r="K32">
            <v>51589.159249999997</v>
          </cell>
          <cell r="L32">
            <v>52148.5625</v>
          </cell>
          <cell r="M32">
            <v>52627.762750000002</v>
          </cell>
          <cell r="N32">
            <v>53188.741000000002</v>
          </cell>
          <cell r="O32">
            <v>55775.143500000006</v>
          </cell>
          <cell r="P32">
            <v>53104.430500000002</v>
          </cell>
          <cell r="Q32">
            <v>55640.238250000002</v>
          </cell>
          <cell r="R32">
            <v>56564.654999999999</v>
          </cell>
          <cell r="S32">
            <v>59589.328249999999</v>
          </cell>
          <cell r="T32">
            <v>60994.099249999999</v>
          </cell>
          <cell r="U32">
            <v>59456.602749999998</v>
          </cell>
          <cell r="V32">
            <v>58309.017500000002</v>
          </cell>
          <cell r="W32">
            <v>59952.812250000003</v>
          </cell>
        </row>
        <row r="33">
          <cell r="B33">
            <v>32194.266500000002</v>
          </cell>
          <cell r="C33">
            <v>33710.313750000001</v>
          </cell>
          <cell r="D33">
            <v>33931.363249999995</v>
          </cell>
          <cell r="E33">
            <v>33812.315499999997</v>
          </cell>
          <cell r="F33">
            <v>38959.424749999998</v>
          </cell>
          <cell r="G33">
            <v>41726.837</v>
          </cell>
          <cell r="H33">
            <v>38888.866500000004</v>
          </cell>
          <cell r="I33">
            <v>39395.262750000002</v>
          </cell>
          <cell r="J33">
            <v>42943.484500000006</v>
          </cell>
          <cell r="K33">
            <v>46280.697249999997</v>
          </cell>
          <cell r="L33">
            <v>46101.629000000001</v>
          </cell>
          <cell r="M33">
            <v>46406.75</v>
          </cell>
          <cell r="N33">
            <v>46713.241249999999</v>
          </cell>
          <cell r="O33">
            <v>48432.588749999995</v>
          </cell>
          <cell r="P33">
            <v>49492.528249999996</v>
          </cell>
          <cell r="Q33">
            <v>52083.393749999996</v>
          </cell>
          <cell r="R33">
            <v>53063.285000000003</v>
          </cell>
          <cell r="S33">
            <v>56114.215500000006</v>
          </cell>
          <cell r="T33">
            <v>57815.647499999999</v>
          </cell>
          <cell r="U33">
            <v>56526.185500000007</v>
          </cell>
          <cell r="V33">
            <v>56155.588000000003</v>
          </cell>
          <cell r="W33">
            <v>58249.494999999995</v>
          </cell>
        </row>
        <row r="34">
          <cell r="B34">
            <v>34434.555500000002</v>
          </cell>
          <cell r="C34">
            <v>36802.5245</v>
          </cell>
          <cell r="D34">
            <v>36829.978499999997</v>
          </cell>
          <cell r="E34">
            <v>37122.911999999997</v>
          </cell>
          <cell r="F34">
            <v>39930.417750000001</v>
          </cell>
          <cell r="G34">
            <v>41023.893499999998</v>
          </cell>
          <cell r="H34">
            <v>43949.782250000004</v>
          </cell>
          <cell r="I34">
            <v>43186.803749999999</v>
          </cell>
          <cell r="J34">
            <v>46359.748250000004</v>
          </cell>
          <cell r="K34">
            <v>49763.3125</v>
          </cell>
          <cell r="L34">
            <v>49363.965749999996</v>
          </cell>
          <cell r="M34">
            <v>49037.902249999999</v>
          </cell>
          <cell r="N34">
            <v>48693.348749999997</v>
          </cell>
          <cell r="O34">
            <v>49243.433749999997</v>
          </cell>
          <cell r="P34">
            <v>49680.359750000003</v>
          </cell>
          <cell r="Q34">
            <v>50854.924750000006</v>
          </cell>
          <cell r="R34">
            <v>52205.40625</v>
          </cell>
          <cell r="S34">
            <v>53074.945499999994</v>
          </cell>
          <cell r="W34">
            <v>51254.118999999992</v>
          </cell>
        </row>
        <row r="35">
          <cell r="B35">
            <v>24145.751499999998</v>
          </cell>
          <cell r="C35">
            <v>23500.044250000003</v>
          </cell>
          <cell r="D35">
            <v>23473.322500000002</v>
          </cell>
          <cell r="E35">
            <v>23932.328999999998</v>
          </cell>
          <cell r="F35">
            <v>25439.356749999999</v>
          </cell>
          <cell r="G35">
            <v>26354.160750000003</v>
          </cell>
          <cell r="H35">
            <v>27081.4205</v>
          </cell>
          <cell r="I35">
            <v>28658.627249999998</v>
          </cell>
          <cell r="J35">
            <v>29249.577499999999</v>
          </cell>
          <cell r="K35">
            <v>31051</v>
          </cell>
          <cell r="L35">
            <v>31496.752999999997</v>
          </cell>
          <cell r="M35">
            <v>31721.523000000001</v>
          </cell>
          <cell r="N35">
            <v>32217.109249999998</v>
          </cell>
          <cell r="O35">
            <v>31874.334000000003</v>
          </cell>
          <cell r="P35">
            <v>33160.98575</v>
          </cell>
          <cell r="Q35">
            <v>33116.538</v>
          </cell>
          <cell r="R35">
            <v>34226.510999999999</v>
          </cell>
          <cell r="S35">
            <v>35363.057499999995</v>
          </cell>
          <cell r="T35">
            <v>36865.201249999998</v>
          </cell>
          <cell r="U35">
            <v>35711.961750000002</v>
          </cell>
          <cell r="V35">
            <v>35819.179749999996</v>
          </cell>
          <cell r="W35">
            <v>37005.426749999999</v>
          </cell>
        </row>
        <row r="36">
          <cell r="B36">
            <v>31426.325000000001</v>
          </cell>
          <cell r="C36">
            <v>33562.587750000006</v>
          </cell>
          <cell r="D36">
            <v>33548.141749999995</v>
          </cell>
          <cell r="E36">
            <v>33774.813500000004</v>
          </cell>
          <cell r="F36">
            <v>36286.964</v>
          </cell>
          <cell r="G36">
            <v>37248.787249999994</v>
          </cell>
          <cell r="H36">
            <v>39890.482250000001</v>
          </cell>
          <cell r="I36">
            <v>39191.789000000004</v>
          </cell>
          <cell r="J36">
            <v>42094.862250000006</v>
          </cell>
          <cell r="K36">
            <v>45250.852749999998</v>
          </cell>
          <cell r="L36">
            <v>44963.161</v>
          </cell>
          <cell r="M36">
            <v>44688.175750000002</v>
          </cell>
          <cell r="N36">
            <v>44534.522750000004</v>
          </cell>
          <cell r="O36">
            <v>45435.550999999999</v>
          </cell>
          <cell r="P36">
            <v>46020.409249999997</v>
          </cell>
          <cell r="Q36">
            <v>46612.868000000002</v>
          </cell>
          <cell r="R36">
            <v>47075.480499999998</v>
          </cell>
          <cell r="S36">
            <v>47725.352500000001</v>
          </cell>
          <cell r="T36">
            <v>48954.278250000003</v>
          </cell>
          <cell r="U36">
            <v>46447.474499999997</v>
          </cell>
          <cell r="V36">
            <v>46921.594999999994</v>
          </cell>
          <cell r="W36">
            <v>48699.502999999997</v>
          </cell>
        </row>
        <row r="37">
          <cell r="B37">
            <v>29072.375500000002</v>
          </cell>
          <cell r="C37">
            <v>29585.554</v>
          </cell>
          <cell r="D37">
            <v>30536.00375</v>
          </cell>
          <cell r="E37">
            <v>31638.718250000002</v>
          </cell>
          <cell r="F37">
            <v>33012.873999999996</v>
          </cell>
          <cell r="G37">
            <v>35030.023499999996</v>
          </cell>
          <cell r="H37">
            <v>38988.616249999999</v>
          </cell>
          <cell r="I37">
            <v>39284.294999999998</v>
          </cell>
          <cell r="J37">
            <v>39370.226499999997</v>
          </cell>
          <cell r="K37">
            <v>40492.705249999999</v>
          </cell>
          <cell r="L37">
            <v>40105.422000000006</v>
          </cell>
          <cell r="M37">
            <v>39438.394499999995</v>
          </cell>
          <cell r="N37">
            <v>38764.196250000001</v>
          </cell>
          <cell r="O37">
            <v>38545.634749999997</v>
          </cell>
          <cell r="P37">
            <v>39567.355500000005</v>
          </cell>
          <cell r="Q37">
            <v>40464.839749999999</v>
          </cell>
          <cell r="R37">
            <v>41991.68275</v>
          </cell>
          <cell r="S37">
            <v>43561.344499999999</v>
          </cell>
          <cell r="T37">
            <v>45281.387500000004</v>
          </cell>
          <cell r="U37">
            <v>42030.828000000001</v>
          </cell>
          <cell r="V37">
            <v>41171.31925</v>
          </cell>
          <cell r="W37">
            <v>42244.673750000002</v>
          </cell>
        </row>
        <row r="38">
          <cell r="B38">
            <v>32488.994749999998</v>
          </cell>
          <cell r="C38">
            <v>30980.341</v>
          </cell>
          <cell r="D38">
            <v>31041.109750000003</v>
          </cell>
          <cell r="E38">
            <v>29261.368999999999</v>
          </cell>
          <cell r="F38">
            <v>33456.745499999997</v>
          </cell>
          <cell r="G38">
            <v>32524.327499999999</v>
          </cell>
          <cell r="H38">
            <v>38704.6155</v>
          </cell>
          <cell r="I38">
            <v>38175.652249999999</v>
          </cell>
          <cell r="J38">
            <v>36992.021500000003</v>
          </cell>
          <cell r="K38">
            <v>39336.794999999998</v>
          </cell>
          <cell r="L38">
            <v>39626.458250000003</v>
          </cell>
          <cell r="M38">
            <v>39909.240249999995</v>
          </cell>
          <cell r="N38">
            <v>40210.563500000004</v>
          </cell>
          <cell r="O38">
            <v>40747.30975</v>
          </cell>
          <cell r="P38">
            <v>41835.777500000004</v>
          </cell>
          <cell r="Q38">
            <v>40940.767750000006</v>
          </cell>
          <cell r="R38">
            <v>42005.33</v>
          </cell>
          <cell r="S38">
            <v>44277.097750000001</v>
          </cell>
          <cell r="T38">
            <v>45430.80775</v>
          </cell>
          <cell r="U38">
            <v>43676.048500000004</v>
          </cell>
          <cell r="V38">
            <v>43127.962749999999</v>
          </cell>
          <cell r="W38">
            <v>43639.312250000003</v>
          </cell>
        </row>
        <row r="39">
          <cell r="B39">
            <v>39235.578249999999</v>
          </cell>
          <cell r="C39">
            <v>42745.959000000003</v>
          </cell>
          <cell r="D39">
            <v>41610.665000000001</v>
          </cell>
          <cell r="E39">
            <v>40457.69025</v>
          </cell>
          <cell r="F39">
            <v>42298.737999999998</v>
          </cell>
          <cell r="G39">
            <v>41652.1005</v>
          </cell>
          <cell r="H39">
            <v>43855.5</v>
          </cell>
          <cell r="I39">
            <v>46098.415999999997</v>
          </cell>
          <cell r="J39">
            <v>49087.845750000008</v>
          </cell>
          <cell r="K39">
            <v>52603.000999999997</v>
          </cell>
          <cell r="L39">
            <v>53472.583999999995</v>
          </cell>
          <cell r="M39">
            <v>54124.546999999999</v>
          </cell>
          <cell r="N39">
            <v>55138.384749999997</v>
          </cell>
          <cell r="O39">
            <v>55929.67</v>
          </cell>
          <cell r="P39">
            <v>60445.832999999999</v>
          </cell>
          <cell r="Q39">
            <v>61256.565499999997</v>
          </cell>
          <cell r="R39">
            <v>63118.270749999996</v>
          </cell>
          <cell r="S39">
            <v>64793.421750000001</v>
          </cell>
          <cell r="T39">
            <v>66664.246249999997</v>
          </cell>
          <cell r="U39">
            <v>65494.965750000003</v>
          </cell>
          <cell r="V39">
            <v>62996.929749999996</v>
          </cell>
          <cell r="W39">
            <v>63035.957999999999</v>
          </cell>
        </row>
        <row r="40">
          <cell r="B40">
            <v>43971.357250000001</v>
          </cell>
          <cell r="C40">
            <v>42510.790000000008</v>
          </cell>
          <cell r="D40">
            <v>48522.587749999999</v>
          </cell>
          <cell r="E40">
            <v>49599.412250000001</v>
          </cell>
          <cell r="F40">
            <v>49547.742250000003</v>
          </cell>
          <cell r="G40">
            <v>50673.822249999997</v>
          </cell>
          <cell r="H40">
            <v>49797.425999999999</v>
          </cell>
          <cell r="I40">
            <v>49189.667249999999</v>
          </cell>
          <cell r="J40">
            <v>49445.609500000006</v>
          </cell>
          <cell r="K40">
            <v>51913.999749999995</v>
          </cell>
          <cell r="L40">
            <v>52089.010750000001</v>
          </cell>
          <cell r="M40">
            <v>52359.355250000008</v>
          </cell>
          <cell r="N40">
            <v>52531.242250000003</v>
          </cell>
          <cell r="O40">
            <v>52557.701249999998</v>
          </cell>
          <cell r="P40">
            <v>55249.577250000002</v>
          </cell>
          <cell r="Q40">
            <v>59854.24525</v>
          </cell>
          <cell r="R40">
            <v>62841.760000000002</v>
          </cell>
          <cell r="S40">
            <v>65059.303750000006</v>
          </cell>
          <cell r="T40">
            <v>69008.831999999995</v>
          </cell>
          <cell r="U40">
            <v>66334.230750000002</v>
          </cell>
          <cell r="V40">
            <v>66338.880749999997</v>
          </cell>
          <cell r="W40">
            <v>67829.048750000002</v>
          </cell>
        </row>
        <row r="41">
          <cell r="B41">
            <v>33864.683750000004</v>
          </cell>
          <cell r="C41">
            <v>33327.419000000002</v>
          </cell>
          <cell r="D41">
            <v>33665.164000000004</v>
          </cell>
          <cell r="E41">
            <v>34670.469750000004</v>
          </cell>
          <cell r="F41">
            <v>37149.927750000003</v>
          </cell>
          <cell r="G41">
            <v>38686.675749999995</v>
          </cell>
          <cell r="H41">
            <v>39834.049749999998</v>
          </cell>
          <cell r="I41">
            <v>42057.714999999997</v>
          </cell>
          <cell r="J41">
            <v>42617.862999999998</v>
          </cell>
          <cell r="K41">
            <v>44652.141500000005</v>
          </cell>
          <cell r="L41">
            <v>44682.189499999993</v>
          </cell>
          <cell r="M41">
            <v>45190.009750000005</v>
          </cell>
          <cell r="N41">
            <v>45810.513500000001</v>
          </cell>
          <cell r="O41">
            <v>45410.073250000001</v>
          </cell>
          <cell r="P41">
            <v>46235.771499999995</v>
          </cell>
          <cell r="Q41">
            <v>46531.933750000004</v>
          </cell>
          <cell r="R41">
            <v>49889.442750000002</v>
          </cell>
          <cell r="S41">
            <v>53347.533250000008</v>
          </cell>
          <cell r="T41">
            <v>56571.454999999994</v>
          </cell>
          <cell r="U41">
            <v>54776.939250000003</v>
          </cell>
          <cell r="V41">
            <v>55296.853000000003</v>
          </cell>
          <cell r="W41">
            <v>57403.044750000001</v>
          </cell>
        </row>
        <row r="42">
          <cell r="B42">
            <v>33442.014750000002</v>
          </cell>
          <cell r="C42">
            <v>33365.501749999996</v>
          </cell>
          <cell r="D42">
            <v>34836.292000000001</v>
          </cell>
          <cell r="E42">
            <v>35691.532249999997</v>
          </cell>
          <cell r="F42">
            <v>33432.808750000004</v>
          </cell>
          <cell r="G42">
            <v>39706.378750000003</v>
          </cell>
          <cell r="H42">
            <v>41419.549750000006</v>
          </cell>
          <cell r="I42">
            <v>45399.359250000001</v>
          </cell>
          <cell r="J42">
            <v>45942.821250000008</v>
          </cell>
          <cell r="K42">
            <v>46701.881000000001</v>
          </cell>
          <cell r="L42">
            <v>46888.580249999992</v>
          </cell>
          <cell r="M42">
            <v>47285.575249999994</v>
          </cell>
          <cell r="N42">
            <v>47818.073249999994</v>
          </cell>
          <cell r="O42">
            <v>48452.11825</v>
          </cell>
          <cell r="P42">
            <v>48956.255750000004</v>
          </cell>
          <cell r="Q42">
            <v>50853.797000000006</v>
          </cell>
          <cell r="R42">
            <v>52017.387750000002</v>
          </cell>
          <cell r="S42">
            <v>54132.452250000002</v>
          </cell>
          <cell r="T42">
            <v>54664.647500000006</v>
          </cell>
          <cell r="U42">
            <v>51695.570250000004</v>
          </cell>
          <cell r="V42">
            <v>50578.940749999994</v>
          </cell>
          <cell r="W42">
            <v>51145.299750000006</v>
          </cell>
        </row>
        <row r="43">
          <cell r="C43">
            <v>24419.341</v>
          </cell>
          <cell r="D43">
            <v>25507.92525</v>
          </cell>
          <cell r="E43">
            <v>27246.473749999997</v>
          </cell>
          <cell r="F43">
            <v>30930.335499999997</v>
          </cell>
          <cell r="G43">
            <v>32137.066250000003</v>
          </cell>
          <cell r="H43">
            <v>32182.614750000001</v>
          </cell>
          <cell r="I43">
            <v>34325.729500000001</v>
          </cell>
          <cell r="J43">
            <v>35079.843999999997</v>
          </cell>
          <cell r="K43">
            <v>37702.267250000004</v>
          </cell>
          <cell r="L43">
            <v>38029.300749999995</v>
          </cell>
          <cell r="N43">
            <v>38390.688499999997</v>
          </cell>
          <cell r="O43">
            <v>39334.281499999997</v>
          </cell>
          <cell r="P43">
            <v>38199.095749999993</v>
          </cell>
          <cell r="Q43">
            <v>39703.543250000002</v>
          </cell>
          <cell r="R43">
            <v>41474.315499999997</v>
          </cell>
          <cell r="S43">
            <v>43838.820249999997</v>
          </cell>
          <cell r="T43">
            <v>45516.94225</v>
          </cell>
          <cell r="U43">
            <v>43810.762750000002</v>
          </cell>
          <cell r="V43">
            <v>43405.037000000004</v>
          </cell>
          <cell r="W43">
            <v>44000.210000000006</v>
          </cell>
        </row>
        <row r="44">
          <cell r="B44">
            <v>30569.267</v>
          </cell>
          <cell r="C44">
            <v>31433.707750000001</v>
          </cell>
          <cell r="D44">
            <v>31767.797250000003</v>
          </cell>
          <cell r="E44">
            <v>33405.502</v>
          </cell>
          <cell r="F44">
            <v>34532.643499999998</v>
          </cell>
          <cell r="G44">
            <v>35326.366249999999</v>
          </cell>
          <cell r="H44">
            <v>36642.038249999998</v>
          </cell>
          <cell r="I44">
            <v>39076.489249999999</v>
          </cell>
          <cell r="J44">
            <v>42309.02925</v>
          </cell>
          <cell r="K44">
            <v>42964.054000000004</v>
          </cell>
          <cell r="L44">
            <v>43329.039999999994</v>
          </cell>
          <cell r="M44">
            <v>43822.684500000003</v>
          </cell>
          <cell r="N44">
            <v>44171.631999999998</v>
          </cell>
          <cell r="O44">
            <v>44751.304749999996</v>
          </cell>
          <cell r="P44">
            <v>46155.423999999999</v>
          </cell>
          <cell r="Q44">
            <v>47467.178</v>
          </cell>
          <cell r="R44">
            <v>50531.777499999997</v>
          </cell>
          <cell r="S44">
            <v>52882.034</v>
          </cell>
          <cell r="T44">
            <v>53240.149750000004</v>
          </cell>
          <cell r="U44">
            <v>50437.408999999992</v>
          </cell>
          <cell r="V44">
            <v>50541.080249999999</v>
          </cell>
          <cell r="W44">
            <v>52044.637749999994</v>
          </cell>
        </row>
        <row r="45">
          <cell r="B45">
            <v>33346.120999999999</v>
          </cell>
          <cell r="C45">
            <v>33465.742249999996</v>
          </cell>
          <cell r="D45">
            <v>33673.704249999995</v>
          </cell>
          <cell r="E45">
            <v>34311.179499999998</v>
          </cell>
          <cell r="F45">
            <v>34605.702999999994</v>
          </cell>
          <cell r="G45">
            <v>38740.778250000003</v>
          </cell>
          <cell r="H45">
            <v>39606.582999999999</v>
          </cell>
          <cell r="I45">
            <v>43258.023249999998</v>
          </cell>
          <cell r="J45">
            <v>45847.756000000001</v>
          </cell>
          <cell r="K45">
            <v>46464.154500000004</v>
          </cell>
          <cell r="L45">
            <v>47041.762749999994</v>
          </cell>
          <cell r="M45">
            <v>47778.035250000001</v>
          </cell>
          <cell r="N45">
            <v>48615.210999999996</v>
          </cell>
          <cell r="O45">
            <v>49615.358500000002</v>
          </cell>
          <cell r="P45">
            <v>50396.354500000001</v>
          </cell>
          <cell r="Q45">
            <v>51109.085749999998</v>
          </cell>
          <cell r="R45">
            <v>52942.815500000004</v>
          </cell>
          <cell r="S45">
            <v>55219.167000000001</v>
          </cell>
          <cell r="T45">
            <v>57670.889750000002</v>
          </cell>
          <cell r="U45">
            <v>55158.859250000001</v>
          </cell>
          <cell r="V45">
            <v>54825.272499999999</v>
          </cell>
          <cell r="W45">
            <v>56347.652249999999</v>
          </cell>
        </row>
        <row r="46">
          <cell r="B46">
            <v>25895.969250000002</v>
          </cell>
          <cell r="C46">
            <v>27624.572249999997</v>
          </cell>
          <cell r="D46">
            <v>27075.913</v>
          </cell>
          <cell r="E46">
            <v>27548.815999999999</v>
          </cell>
          <cell r="F46">
            <v>30988.067750000002</v>
          </cell>
          <cell r="G46">
            <v>30978.353500000001</v>
          </cell>
          <cell r="H46">
            <v>32456.626</v>
          </cell>
          <cell r="I46">
            <v>31913.309499999999</v>
          </cell>
          <cell r="J46">
            <v>35115.530000000006</v>
          </cell>
          <cell r="K46">
            <v>37206.986499999999</v>
          </cell>
          <cell r="L46">
            <v>37587.533250000008</v>
          </cell>
          <cell r="M46">
            <v>37907.697999999997</v>
          </cell>
          <cell r="N46">
            <v>38507.657500000001</v>
          </cell>
          <cell r="O46">
            <v>39873.30775</v>
          </cell>
          <cell r="P46">
            <v>40724.078000000001</v>
          </cell>
          <cell r="Q46">
            <v>40785.265499999994</v>
          </cell>
          <cell r="R46">
            <v>42465.429749999996</v>
          </cell>
          <cell r="S46">
            <v>44550.804499999998</v>
          </cell>
          <cell r="T46">
            <v>45807.014499999997</v>
          </cell>
          <cell r="U46">
            <v>43894.714500000002</v>
          </cell>
          <cell r="V46">
            <v>43595.860500000003</v>
          </cell>
          <cell r="W46">
            <v>44136.989499999996</v>
          </cell>
        </row>
        <row r="47">
          <cell r="B47">
            <v>33463.749500000005</v>
          </cell>
          <cell r="C47">
            <v>34758.949500000002</v>
          </cell>
          <cell r="D47">
            <v>33995.848749999997</v>
          </cell>
          <cell r="E47">
            <v>38488.933750000004</v>
          </cell>
          <cell r="F47">
            <v>38844.068500000001</v>
          </cell>
          <cell r="G47">
            <v>39335.919999999998</v>
          </cell>
          <cell r="H47">
            <v>42239.409500000002</v>
          </cell>
          <cell r="I47">
            <v>42748.008750000008</v>
          </cell>
          <cell r="J47">
            <v>43838.469750000004</v>
          </cell>
          <cell r="K47">
            <v>44616.000249999997</v>
          </cell>
          <cell r="L47">
            <v>44124.718749999993</v>
          </cell>
          <cell r="M47">
            <v>43651.752</v>
          </cell>
          <cell r="N47">
            <v>43073.095000000001</v>
          </cell>
          <cell r="O47">
            <v>44454.652249999999</v>
          </cell>
          <cell r="P47">
            <v>43834.611499999999</v>
          </cell>
          <cell r="Q47">
            <v>48883.812750000005</v>
          </cell>
          <cell r="R47">
            <v>53264.324250000005</v>
          </cell>
          <cell r="S47">
            <v>55792.885000000002</v>
          </cell>
          <cell r="T47">
            <v>57013.715750000003</v>
          </cell>
          <cell r="U47">
            <v>53770.257750000004</v>
          </cell>
          <cell r="V47">
            <v>51168.785250000001</v>
          </cell>
          <cell r="W47">
            <v>51974.049999999996</v>
          </cell>
        </row>
        <row r="48">
          <cell r="B48">
            <v>28014.748</v>
          </cell>
          <cell r="C48">
            <v>29035.165250000002</v>
          </cell>
          <cell r="E48">
            <v>28976.92525</v>
          </cell>
          <cell r="F48">
            <v>32425.803499999998</v>
          </cell>
          <cell r="G48">
            <v>33024.883750000001</v>
          </cell>
          <cell r="H48">
            <v>35006.142500000002</v>
          </cell>
          <cell r="I48">
            <v>34093.132999999994</v>
          </cell>
          <cell r="J48">
            <v>36420.228499999997</v>
          </cell>
          <cell r="K48">
            <v>38744.324250000005</v>
          </cell>
          <cell r="L48">
            <v>39610.670750000005</v>
          </cell>
          <cell r="M48">
            <v>40462.200249999994</v>
          </cell>
          <cell r="N48">
            <v>41421.154000000002</v>
          </cell>
          <cell r="O48">
            <v>41258.893500000006</v>
          </cell>
          <cell r="P48">
            <v>39636.630250000002</v>
          </cell>
          <cell r="Q48">
            <v>41933.712</v>
          </cell>
          <cell r="R48">
            <v>43845.862249999998</v>
          </cell>
          <cell r="S48">
            <v>45608.17</v>
          </cell>
          <cell r="T48">
            <v>46026.572249999997</v>
          </cell>
          <cell r="U48">
            <v>44620.764749999995</v>
          </cell>
          <cell r="V48">
            <v>45209.985250000005</v>
          </cell>
          <cell r="W48">
            <v>47493.157250000004</v>
          </cell>
        </row>
        <row r="49">
          <cell r="B49">
            <v>37592.434499999996</v>
          </cell>
          <cell r="C49">
            <v>37716.791000000005</v>
          </cell>
          <cell r="D49">
            <v>38766.642749999999</v>
          </cell>
          <cell r="E49">
            <v>37521.455000000002</v>
          </cell>
          <cell r="F49">
            <v>38613.176749999999</v>
          </cell>
          <cell r="G49">
            <v>40189.0625</v>
          </cell>
          <cell r="H49">
            <v>41947.948250000001</v>
          </cell>
          <cell r="I49">
            <v>42803.080249999999</v>
          </cell>
          <cell r="J49">
            <v>44170.456999999995</v>
          </cell>
          <cell r="K49">
            <v>46012.186249999999</v>
          </cell>
          <cell r="L49">
            <v>46849.191250000003</v>
          </cell>
          <cell r="M49">
            <v>47440.701249999998</v>
          </cell>
          <cell r="N49">
            <v>48202.554749999996</v>
          </cell>
          <cell r="O49">
            <v>48624.503000000004</v>
          </cell>
          <cell r="P49">
            <v>49619.451249999991</v>
          </cell>
          <cell r="Q49">
            <v>52261.296750000001</v>
          </cell>
          <cell r="R49">
            <v>55713.96875</v>
          </cell>
          <cell r="S49">
            <v>59173.520500000006</v>
          </cell>
          <cell r="T49">
            <v>60348.801999999996</v>
          </cell>
          <cell r="U49">
            <v>58387.361250000002</v>
          </cell>
          <cell r="V49">
            <v>57191.607250000001</v>
          </cell>
          <cell r="W49">
            <v>58289.676999999996</v>
          </cell>
        </row>
        <row r="50">
          <cell r="B50">
            <v>28526.435750000001</v>
          </cell>
          <cell r="C50">
            <v>27638.285</v>
          </cell>
          <cell r="D50">
            <v>27691.012250000003</v>
          </cell>
          <cell r="E50">
            <v>28735.715999999997</v>
          </cell>
          <cell r="F50">
            <v>30511.038249999998</v>
          </cell>
          <cell r="G50">
            <v>34684.1005</v>
          </cell>
          <cell r="H50">
            <v>37535.794000000002</v>
          </cell>
          <cell r="I50">
            <v>39341.166750000004</v>
          </cell>
          <cell r="J50">
            <v>42241.205249999999</v>
          </cell>
          <cell r="K50">
            <v>40961.392749999999</v>
          </cell>
          <cell r="L50">
            <v>41575.452000000005</v>
          </cell>
          <cell r="M50">
            <v>42388.736250000002</v>
          </cell>
          <cell r="N50">
            <v>43100.027499999997</v>
          </cell>
          <cell r="O50">
            <v>42455.162250000001</v>
          </cell>
          <cell r="P50">
            <v>42877.906999999999</v>
          </cell>
          <cell r="Q50">
            <v>44607.952000000005</v>
          </cell>
          <cell r="R50">
            <v>46243.3465</v>
          </cell>
          <cell r="S50">
            <v>46844.233250000005</v>
          </cell>
          <cell r="T50">
            <v>48364.575250000009</v>
          </cell>
          <cell r="U50">
            <v>46448.782249999997</v>
          </cell>
          <cell r="V50">
            <v>46195.38175</v>
          </cell>
          <cell r="W50">
            <v>47723.331250000003</v>
          </cell>
        </row>
        <row r="51">
          <cell r="B51">
            <v>34057.811249999999</v>
          </cell>
          <cell r="C51">
            <v>34557.334750000002</v>
          </cell>
          <cell r="D51">
            <v>36974.803749999999</v>
          </cell>
          <cell r="E51">
            <v>35233.590750000003</v>
          </cell>
          <cell r="F51">
            <v>39177.254999999997</v>
          </cell>
          <cell r="G51">
            <v>45231.793249999995</v>
          </cell>
          <cell r="H51">
            <v>44040.309500000003</v>
          </cell>
          <cell r="I51">
            <v>43429.342750000003</v>
          </cell>
          <cell r="J51">
            <v>45126.158249999993</v>
          </cell>
          <cell r="K51">
            <v>48513.145499999999</v>
          </cell>
          <cell r="L51">
            <v>48368.908000000003</v>
          </cell>
          <cell r="M51">
            <v>48292.277249999999</v>
          </cell>
          <cell r="N51">
            <v>48260.753999999994</v>
          </cell>
          <cell r="O51">
            <v>48927.025999999998</v>
          </cell>
          <cell r="P51">
            <v>50437.631999999998</v>
          </cell>
          <cell r="Q51">
            <v>52605.670249999996</v>
          </cell>
          <cell r="R51">
            <v>55197.5265</v>
          </cell>
          <cell r="S51">
            <v>58094.9755</v>
          </cell>
          <cell r="T51">
            <v>60350.340750000003</v>
          </cell>
          <cell r="U51">
            <v>57650.289250000002</v>
          </cell>
          <cell r="V51">
            <v>56579.530249999996</v>
          </cell>
          <cell r="W51">
            <v>57731.897499999999</v>
          </cell>
        </row>
        <row r="52">
          <cell r="B52">
            <v>26888.11075</v>
          </cell>
          <cell r="C52">
            <v>28510.090249999997</v>
          </cell>
          <cell r="D52">
            <v>28353.435999999998</v>
          </cell>
          <cell r="E52">
            <v>29119.344249999998</v>
          </cell>
          <cell r="F52">
            <v>32931.666750000004</v>
          </cell>
          <cell r="G52">
            <v>33207.187250000003</v>
          </cell>
          <cell r="H52">
            <v>34658.135500000004</v>
          </cell>
          <cell r="I52">
            <v>34448.123</v>
          </cell>
          <cell r="J52">
            <v>37400.131000000001</v>
          </cell>
          <cell r="K52">
            <v>39547.913999999997</v>
          </cell>
          <cell r="L52">
            <v>39890.306499999999</v>
          </cell>
          <cell r="M52">
            <v>40669.481249999997</v>
          </cell>
          <cell r="N52">
            <v>41018.171000000002</v>
          </cell>
          <cell r="O52">
            <v>41441.641750000003</v>
          </cell>
          <cell r="P52">
            <v>40830.110249999998</v>
          </cell>
          <cell r="Q52">
            <v>40886.662000000004</v>
          </cell>
          <cell r="R52">
            <v>42198.259749999997</v>
          </cell>
          <cell r="S52">
            <v>44661.530249999996</v>
          </cell>
          <cell r="T52">
            <v>46034.668249999995</v>
          </cell>
          <cell r="U52">
            <v>43912.657250000004</v>
          </cell>
          <cell r="V52">
            <v>43802.924999999996</v>
          </cell>
          <cell r="W52">
            <v>44548.327250000002</v>
          </cell>
        </row>
        <row r="53">
          <cell r="B53">
            <v>30282.161749999999</v>
          </cell>
          <cell r="C53">
            <v>30965.606500000002</v>
          </cell>
          <cell r="D53">
            <v>31121.581000000002</v>
          </cell>
          <cell r="E53">
            <v>32541.108500000002</v>
          </cell>
          <cell r="F53">
            <v>33417.265500000001</v>
          </cell>
          <cell r="G53">
            <v>33937.797749999998</v>
          </cell>
          <cell r="H53">
            <v>34940.587</v>
          </cell>
          <cell r="I53">
            <v>36965.923750000002</v>
          </cell>
          <cell r="J53">
            <v>39670.363250000002</v>
          </cell>
          <cell r="K53">
            <v>39876.534249999997</v>
          </cell>
          <cell r="L53">
            <v>39747.631000000001</v>
          </cell>
          <cell r="M53">
            <v>39672.010750000001</v>
          </cell>
          <cell r="N53">
            <v>39466.403250000003</v>
          </cell>
          <cell r="O53">
            <v>39959.567499999997</v>
          </cell>
          <cell r="P53">
            <v>41060.616999999998</v>
          </cell>
          <cell r="Q53">
            <v>42467.318250000004</v>
          </cell>
          <cell r="R53">
            <v>46037.965000000004</v>
          </cell>
          <cell r="S53">
            <v>48908.082999999999</v>
          </cell>
          <cell r="T53">
            <v>48876.035499999998</v>
          </cell>
          <cell r="U53">
            <v>45523.915999999997</v>
          </cell>
          <cell r="V53">
            <v>44924.15425</v>
          </cell>
          <cell r="W53">
            <v>46280.817500000005</v>
          </cell>
        </row>
        <row r="54">
          <cell r="B54">
            <v>33664.84175</v>
          </cell>
          <cell r="C54">
            <v>33633.922750000005</v>
          </cell>
          <cell r="D54">
            <v>35490.936499999996</v>
          </cell>
          <cell r="E54">
            <v>33438.37225</v>
          </cell>
          <cell r="F54">
            <v>36873.346749999997</v>
          </cell>
          <cell r="G54">
            <v>42331.133000000002</v>
          </cell>
          <cell r="H54">
            <v>41108.605250000001</v>
          </cell>
          <cell r="I54">
            <v>40565.65625</v>
          </cell>
          <cell r="J54">
            <v>42332.822499999995</v>
          </cell>
          <cell r="K54">
            <v>45901.000249999997</v>
          </cell>
          <cell r="L54">
            <v>46178.571250000001</v>
          </cell>
          <cell r="M54">
            <v>46011.379000000001</v>
          </cell>
          <cell r="N54">
            <v>45935.821250000001</v>
          </cell>
          <cell r="O54">
            <v>46240.279250000007</v>
          </cell>
          <cell r="P54">
            <v>47242.418250000002</v>
          </cell>
          <cell r="Q54">
            <v>48602.138500000001</v>
          </cell>
          <cell r="R54">
            <v>50154.184500000003</v>
          </cell>
          <cell r="S54">
            <v>52070.845750000008</v>
          </cell>
          <cell r="T54">
            <v>54212.342750000003</v>
          </cell>
          <cell r="U54">
            <v>52147.569249999993</v>
          </cell>
          <cell r="V54">
            <v>50991.876000000004</v>
          </cell>
          <cell r="W54">
            <v>51991.373999999996</v>
          </cell>
        </row>
        <row r="55">
          <cell r="B55">
            <v>37933.201999999997</v>
          </cell>
          <cell r="C55">
            <v>35423.96675</v>
          </cell>
          <cell r="D55">
            <v>37038.781000000003</v>
          </cell>
          <cell r="E55">
            <v>39885.747000000003</v>
          </cell>
          <cell r="F55">
            <v>39768.237250000006</v>
          </cell>
          <cell r="G55">
            <v>44656.445499999994</v>
          </cell>
          <cell r="H55">
            <v>47893.8465</v>
          </cell>
          <cell r="I55">
            <v>49469.083749999998</v>
          </cell>
          <cell r="J55">
            <v>55393.212</v>
          </cell>
          <cell r="K55">
            <v>54304.000249999997</v>
          </cell>
          <cell r="L55">
            <v>55187.487500000003</v>
          </cell>
          <cell r="M55">
            <v>56128.314249999996</v>
          </cell>
          <cell r="N55">
            <v>57008.992999999995</v>
          </cell>
          <cell r="O55">
            <v>57789.741249999999</v>
          </cell>
          <cell r="P55">
            <v>58416.40625</v>
          </cell>
          <cell r="Q55">
            <v>59616.353499999997</v>
          </cell>
          <cell r="R55">
            <v>61848.139750000002</v>
          </cell>
          <cell r="S55">
            <v>63934.533249999993</v>
          </cell>
          <cell r="T55">
            <v>65563.048750000002</v>
          </cell>
          <cell r="U55">
            <v>63468.602500000001</v>
          </cell>
          <cell r="V55">
            <v>63014.565500000004</v>
          </cell>
          <cell r="W55">
            <v>64855.699250000005</v>
          </cell>
        </row>
        <row r="56">
          <cell r="B56">
            <v>30080.413</v>
          </cell>
          <cell r="C56">
            <v>32220.970499999999</v>
          </cell>
          <cell r="D56">
            <v>31695.154749999998</v>
          </cell>
          <cell r="E56">
            <v>32363.532250000004</v>
          </cell>
          <cell r="F56">
            <v>36534.630749999997</v>
          </cell>
          <cell r="G56">
            <v>36614.587749999999</v>
          </cell>
          <cell r="H56">
            <v>38438.65825</v>
          </cell>
          <cell r="I56">
            <v>37850.771500000003</v>
          </cell>
          <cell r="J56">
            <v>41716.469749999997</v>
          </cell>
          <cell r="K56">
            <v>44222.262750000002</v>
          </cell>
          <cell r="L56">
            <v>44609.859499999999</v>
          </cell>
          <cell r="M56">
            <v>44812.213000000003</v>
          </cell>
          <cell r="O56">
            <v>46583.681749999996</v>
          </cell>
          <cell r="P56">
            <v>47464.074249999998</v>
          </cell>
          <cell r="Q56">
            <v>47433.518750000003</v>
          </cell>
          <cell r="R56">
            <v>49103.617250000003</v>
          </cell>
          <cell r="S56">
            <v>51434.47075</v>
          </cell>
          <cell r="V56">
            <v>51083.991249999999</v>
          </cell>
          <cell r="W56">
            <v>51931.487250000006</v>
          </cell>
        </row>
        <row r="57">
          <cell r="B57">
            <v>36576.429749999996</v>
          </cell>
          <cell r="C57">
            <v>39803.583999999995</v>
          </cell>
          <cell r="D57">
            <v>38694.004000000001</v>
          </cell>
          <cell r="E57">
            <v>37571.564249999996</v>
          </cell>
          <cell r="F57">
            <v>39232.076250000006</v>
          </cell>
          <cell r="G57">
            <v>38591.713250000001</v>
          </cell>
          <cell r="H57">
            <v>40612.856500000002</v>
          </cell>
          <cell r="I57">
            <v>42688.970499999996</v>
          </cell>
          <cell r="J57">
            <v>45495.179749999996</v>
          </cell>
          <cell r="K57">
            <v>48834.000749999999</v>
          </cell>
          <cell r="L57">
            <v>49790.42</v>
          </cell>
          <cell r="M57">
            <v>50586.233249999997</v>
          </cell>
          <cell r="N57">
            <v>51373.964999999997</v>
          </cell>
          <cell r="O57">
            <v>51983.727499999994</v>
          </cell>
          <cell r="P57">
            <v>56119.434249999998</v>
          </cell>
          <cell r="Q57">
            <v>55888.971750000004</v>
          </cell>
          <cell r="R57">
            <v>57471.442500000005</v>
          </cell>
          <cell r="S57">
            <v>59066.006999999998</v>
          </cell>
          <cell r="T57">
            <v>61749.966750000007</v>
          </cell>
          <cell r="U57">
            <v>60603.532250000004</v>
          </cell>
          <cell r="V57">
            <v>57807.862249999998</v>
          </cell>
          <cell r="W57">
            <v>57255.847500000003</v>
          </cell>
        </row>
        <row r="58">
          <cell r="B58">
            <v>24262.620500000001</v>
          </cell>
          <cell r="C58">
            <v>27376.483500000002</v>
          </cell>
          <cell r="D58">
            <v>27496.14675</v>
          </cell>
          <cell r="E58">
            <v>28409.116249999999</v>
          </cell>
          <cell r="F58">
            <v>27711.4185</v>
          </cell>
          <cell r="G58">
            <v>30175.031000000003</v>
          </cell>
          <cell r="H58">
            <v>32715.770499999999</v>
          </cell>
          <cell r="I58">
            <v>36026.800999999999</v>
          </cell>
          <cell r="J58">
            <v>34479.972500000003</v>
          </cell>
          <cell r="K58">
            <v>35572.410250000001</v>
          </cell>
          <cell r="L58">
            <v>35880.473499999993</v>
          </cell>
          <cell r="M58">
            <v>36031.53325</v>
          </cell>
          <cell r="N58">
            <v>36262.888750000006</v>
          </cell>
          <cell r="O58">
            <v>37040.254249999998</v>
          </cell>
          <cell r="P58">
            <v>37896.283000000003</v>
          </cell>
          <cell r="Q58">
            <v>39860.322250000005</v>
          </cell>
          <cell r="R58">
            <v>45432.7745</v>
          </cell>
          <cell r="S58">
            <v>47084.422999999995</v>
          </cell>
          <cell r="T58">
            <v>49323.509749999997</v>
          </cell>
          <cell r="U58">
            <v>47158.047749999998</v>
          </cell>
          <cell r="V58">
            <v>46318.682499999995</v>
          </cell>
          <cell r="W58">
            <v>46970.9375</v>
          </cell>
        </row>
        <row r="59">
          <cell r="B59">
            <v>39401.402249999999</v>
          </cell>
          <cell r="C59">
            <v>40306.064499999993</v>
          </cell>
          <cell r="D59">
            <v>39552.941500000001</v>
          </cell>
          <cell r="E59">
            <v>40847.132750000004</v>
          </cell>
          <cell r="F59">
            <v>41887.245999999999</v>
          </cell>
          <cell r="G59">
            <v>43618.167750000001</v>
          </cell>
          <cell r="H59">
            <v>47086.233499999995</v>
          </cell>
          <cell r="I59">
            <v>47781.486500000006</v>
          </cell>
          <cell r="J59">
            <v>49923.021500000003</v>
          </cell>
          <cell r="K59">
            <v>51478.74525</v>
          </cell>
          <cell r="L59">
            <v>52180.614249999999</v>
          </cell>
          <cell r="M59">
            <v>53038.039250000002</v>
          </cell>
          <cell r="N59">
            <v>53849.684500000003</v>
          </cell>
          <cell r="O59">
            <v>54630.203249999999</v>
          </cell>
          <cell r="P59">
            <v>56287.390749999999</v>
          </cell>
          <cell r="Q59">
            <v>58186.347749999994</v>
          </cell>
          <cell r="R59">
            <v>60978.697249999997</v>
          </cell>
          <cell r="S59">
            <v>63863.420999999995</v>
          </cell>
          <cell r="T59">
            <v>66995.876999999993</v>
          </cell>
          <cell r="U59">
            <v>65161.018499999998</v>
          </cell>
          <cell r="V59">
            <v>64356.474500000004</v>
          </cell>
          <cell r="W59">
            <v>65758.076250000013</v>
          </cell>
        </row>
        <row r="60">
          <cell r="B60">
            <v>29467.73475</v>
          </cell>
          <cell r="C60">
            <v>30268.844499999999</v>
          </cell>
          <cell r="D60">
            <v>30541.80975</v>
          </cell>
          <cell r="E60">
            <v>32043.04825</v>
          </cell>
          <cell r="F60">
            <v>33050.664499999999</v>
          </cell>
          <cell r="G60">
            <v>33731.558499999999</v>
          </cell>
          <cell r="H60">
            <v>34913.390749999999</v>
          </cell>
          <cell r="I60">
            <v>37144.8465</v>
          </cell>
          <cell r="J60">
            <v>40116.222750000001</v>
          </cell>
          <cell r="K60">
            <v>40648.999750000003</v>
          </cell>
          <cell r="L60">
            <v>40789.332249999999</v>
          </cell>
          <cell r="M60">
            <v>40724.899250000002</v>
          </cell>
          <cell r="N60">
            <v>40836.705999999998</v>
          </cell>
          <cell r="O60">
            <v>41587.06725</v>
          </cell>
          <cell r="P60">
            <v>43248.253749999996</v>
          </cell>
          <cell r="Q60">
            <v>44407.407250000004</v>
          </cell>
          <cell r="R60">
            <v>47406.549750000006</v>
          </cell>
          <cell r="S60">
            <v>49578.561499999996</v>
          </cell>
          <cell r="T60">
            <v>48926.839749999999</v>
          </cell>
          <cell r="U60">
            <v>45591.331999999995</v>
          </cell>
          <cell r="V60">
            <v>45130.757750000004</v>
          </cell>
          <cell r="W60">
            <v>46626.082250000007</v>
          </cell>
        </row>
        <row r="61">
          <cell r="B61">
            <v>27938.804500000002</v>
          </cell>
          <cell r="C61">
            <v>28977.791499999999</v>
          </cell>
          <cell r="D61">
            <v>28588.350999999999</v>
          </cell>
          <cell r="E61">
            <v>29509.904500000001</v>
          </cell>
          <cell r="F61">
            <v>30174.488999999998</v>
          </cell>
          <cell r="G61">
            <v>29300.602249999996</v>
          </cell>
          <cell r="H61">
            <v>30452.632000000001</v>
          </cell>
          <cell r="I61">
            <v>34731.126000000004</v>
          </cell>
          <cell r="J61">
            <v>37352.2405</v>
          </cell>
          <cell r="K61">
            <v>36957.831999999995</v>
          </cell>
          <cell r="L61">
            <v>37840.181499999999</v>
          </cell>
          <cell r="M61">
            <v>38532.902249999999</v>
          </cell>
          <cell r="N61">
            <v>39385.311499999996</v>
          </cell>
          <cell r="O61">
            <v>39032.988499999999</v>
          </cell>
          <cell r="P61">
            <v>39386.990250000003</v>
          </cell>
          <cell r="Q61">
            <v>40986.608249999997</v>
          </cell>
          <cell r="R61">
            <v>42601.689499999993</v>
          </cell>
          <cell r="S61">
            <v>45398.696249999994</v>
          </cell>
          <cell r="T61">
            <v>47064.756000000001</v>
          </cell>
          <cell r="U61">
            <v>45754.3465</v>
          </cell>
          <cell r="V61">
            <v>46309.200250000002</v>
          </cell>
          <cell r="W61">
            <v>49645.549750000006</v>
          </cell>
        </row>
        <row r="62">
          <cell r="B62">
            <v>31330.607500000002</v>
          </cell>
          <cell r="C62">
            <v>33590.042999999998</v>
          </cell>
          <cell r="D62">
            <v>34127.21875</v>
          </cell>
          <cell r="E62">
            <v>35083.859250000001</v>
          </cell>
          <cell r="F62">
            <v>36621.448499999999</v>
          </cell>
          <cell r="G62">
            <v>38196.923999999999</v>
          </cell>
          <cell r="H62">
            <v>39002.207000000002</v>
          </cell>
          <cell r="I62">
            <v>39898.0285</v>
          </cell>
          <cell r="J62">
            <v>42294.83625</v>
          </cell>
          <cell r="K62">
            <v>44478.658000000003</v>
          </cell>
          <cell r="L62">
            <v>44853.671000000002</v>
          </cell>
          <cell r="M62">
            <v>45359.790999999997</v>
          </cell>
          <cell r="N62">
            <v>45863.78325</v>
          </cell>
          <cell r="O62">
            <v>47315.006749999993</v>
          </cell>
          <cell r="P62">
            <v>47327.917999999998</v>
          </cell>
          <cell r="Q62">
            <v>49212.613499999992</v>
          </cell>
          <cell r="R62">
            <v>50906.191500000001</v>
          </cell>
          <cell r="S62">
            <v>52921.072249999997</v>
          </cell>
          <cell r="T62">
            <v>55626.462749999999</v>
          </cell>
          <cell r="U62">
            <v>52903.455249999999</v>
          </cell>
          <cell r="V62">
            <v>53639.612249999998</v>
          </cell>
          <cell r="W62">
            <v>55944.168000000005</v>
          </cell>
        </row>
        <row r="63">
          <cell r="B63">
            <v>31100.253999999997</v>
          </cell>
          <cell r="C63">
            <v>31724.978500000001</v>
          </cell>
          <cell r="D63">
            <v>31796.4385</v>
          </cell>
          <cell r="E63">
            <v>33149.452499999999</v>
          </cell>
          <cell r="F63">
            <v>34010.693999999996</v>
          </cell>
          <cell r="G63">
            <v>34572.398499999996</v>
          </cell>
          <cell r="H63">
            <v>35700.072249999997</v>
          </cell>
          <cell r="I63">
            <v>37973.459000000003</v>
          </cell>
          <cell r="J63">
            <v>41106.124000000003</v>
          </cell>
          <cell r="K63">
            <v>41871</v>
          </cell>
          <cell r="L63">
            <v>42369.298000000003</v>
          </cell>
          <cell r="M63">
            <v>42711.55575</v>
          </cell>
          <cell r="N63">
            <v>42948.777500000004</v>
          </cell>
          <cell r="O63">
            <v>43148.030749999998</v>
          </cell>
          <cell r="P63">
            <v>44149.232499999998</v>
          </cell>
          <cell r="Q63">
            <v>44880.338749999995</v>
          </cell>
          <cell r="R63">
            <v>48095.076250000006</v>
          </cell>
          <cell r="S63">
            <v>50489.314249999996</v>
          </cell>
          <cell r="T63">
            <v>50576.499000000011</v>
          </cell>
          <cell r="U63">
            <v>47136.969750000004</v>
          </cell>
          <cell r="V63">
            <v>46627.735500000003</v>
          </cell>
          <cell r="W63">
            <v>47636.102499999994</v>
          </cell>
        </row>
        <row r="64">
          <cell r="B64">
            <v>31295.306</v>
          </cell>
          <cell r="C64">
            <v>31638.37025</v>
          </cell>
          <cell r="D64">
            <v>31435.929</v>
          </cell>
          <cell r="E64">
            <v>32519.456999999999</v>
          </cell>
          <cell r="F64">
            <v>33128.718500000003</v>
          </cell>
          <cell r="G64">
            <v>33476.546750000001</v>
          </cell>
          <cell r="H64">
            <v>34405.267499999994</v>
          </cell>
          <cell r="I64">
            <v>36465.595499999996</v>
          </cell>
          <cell r="J64">
            <v>39392.043750000004</v>
          </cell>
          <cell r="K64">
            <v>40099</v>
          </cell>
          <cell r="L64">
            <v>40546.231499999994</v>
          </cell>
          <cell r="M64">
            <v>40658.207999999999</v>
          </cell>
          <cell r="N64">
            <v>41047.825250000002</v>
          </cell>
          <cell r="O64">
            <v>42134.794000000002</v>
          </cell>
          <cell r="P64">
            <v>44207.234499999999</v>
          </cell>
          <cell r="Q64">
            <v>44891.928750000006</v>
          </cell>
          <cell r="R64">
            <v>47240.246750000006</v>
          </cell>
          <cell r="S64">
            <v>49146.634749999997</v>
          </cell>
          <cell r="T64">
            <v>49368.411999999997</v>
          </cell>
          <cell r="U64">
            <v>46198.536999999997</v>
          </cell>
          <cell r="V64">
            <v>45729.546750000001</v>
          </cell>
          <cell r="W64">
            <v>46563.992249999996</v>
          </cell>
        </row>
        <row r="65">
          <cell r="B65">
            <v>36450.008750000001</v>
          </cell>
          <cell r="C65">
            <v>38162.617250000003</v>
          </cell>
          <cell r="D65">
            <v>37936.603750000002</v>
          </cell>
          <cell r="E65">
            <v>39361.043000000005</v>
          </cell>
          <cell r="F65">
            <v>40713.163249999998</v>
          </cell>
          <cell r="G65">
            <v>43188.58</v>
          </cell>
          <cell r="J65">
            <v>49502.987249999998</v>
          </cell>
          <cell r="K65">
            <v>49061.061500000003</v>
          </cell>
          <cell r="L65">
            <v>49779.608250000005</v>
          </cell>
          <cell r="M65">
            <v>50609.185749999997</v>
          </cell>
          <cell r="N65">
            <v>51364.521500000003</v>
          </cell>
          <cell r="O65">
            <v>51614.56725</v>
          </cell>
          <cell r="P65">
            <v>53192.947249999997</v>
          </cell>
          <cell r="Q65">
            <v>54815.168000000005</v>
          </cell>
          <cell r="R65">
            <v>56866.966749999992</v>
          </cell>
          <cell r="S65">
            <v>59617.969750000004</v>
          </cell>
          <cell r="T65">
            <v>62482.367249999996</v>
          </cell>
          <cell r="U65">
            <v>61082.660250000001</v>
          </cell>
          <cell r="V65">
            <v>60442.311499999996</v>
          </cell>
          <cell r="W65">
            <v>62077.003000000004</v>
          </cell>
        </row>
        <row r="66">
          <cell r="B66">
            <v>31583.660250000001</v>
          </cell>
          <cell r="C66">
            <v>33708.271500000003</v>
          </cell>
          <cell r="D66">
            <v>32668.87</v>
          </cell>
          <cell r="E66">
            <v>34439.600749999998</v>
          </cell>
          <cell r="F66">
            <v>35791.385999999999</v>
          </cell>
          <cell r="G66">
            <v>35747.135750000001</v>
          </cell>
          <cell r="H66">
            <v>37094.794999999998</v>
          </cell>
          <cell r="I66">
            <v>38846.953249999999</v>
          </cell>
          <cell r="J66">
            <v>44497.760000000002</v>
          </cell>
          <cell r="K66">
            <v>44752</v>
          </cell>
          <cell r="L66">
            <v>44957.236250000002</v>
          </cell>
          <cell r="M66">
            <v>45228.129000000001</v>
          </cell>
          <cell r="N66">
            <v>45424.244250000003</v>
          </cell>
          <cell r="O66">
            <v>44854.999750000003</v>
          </cell>
          <cell r="P66">
            <v>46125.414999999994</v>
          </cell>
          <cell r="Q66">
            <v>48352.700249999994</v>
          </cell>
          <cell r="R66">
            <v>51577.421000000009</v>
          </cell>
          <cell r="S66">
            <v>54388.11725000001</v>
          </cell>
          <cell r="T66">
            <v>55717.847500000003</v>
          </cell>
          <cell r="U66">
            <v>53252.862249999998</v>
          </cell>
          <cell r="V66">
            <v>50814.637500000004</v>
          </cell>
          <cell r="W66">
            <v>51631.745249999993</v>
          </cell>
        </row>
        <row r="67">
          <cell r="B67">
            <v>27217.714749999999</v>
          </cell>
          <cell r="C67">
            <v>28584.9535</v>
          </cell>
          <cell r="D67">
            <v>28264.93175</v>
          </cell>
          <cell r="E67">
            <v>29484.598249999999</v>
          </cell>
          <cell r="F67">
            <v>30692.164499999999</v>
          </cell>
          <cell r="G67">
            <v>33256.593999999997</v>
          </cell>
          <cell r="H67">
            <v>33836.392500000002</v>
          </cell>
          <cell r="I67">
            <v>36612.80775</v>
          </cell>
          <cell r="J67">
            <v>38304.457999999999</v>
          </cell>
          <cell r="K67">
            <v>37398.491250000006</v>
          </cell>
          <cell r="L67">
            <v>37749.150499999996</v>
          </cell>
          <cell r="M67">
            <v>38071.105499999998</v>
          </cell>
          <cell r="N67">
            <v>38506.758999999998</v>
          </cell>
          <cell r="O67">
            <v>38954.718999999997</v>
          </cell>
          <cell r="P67">
            <v>40414.636749999998</v>
          </cell>
          <cell r="Q67">
            <v>41667.416250000002</v>
          </cell>
          <cell r="R67">
            <v>43089.96</v>
          </cell>
          <cell r="S67">
            <v>45185.857499999998</v>
          </cell>
          <cell r="T67">
            <v>47411.373</v>
          </cell>
          <cell r="U67">
            <v>46331.046749999994</v>
          </cell>
          <cell r="V67">
            <v>46409.742249999996</v>
          </cell>
        </row>
        <row r="68">
          <cell r="B68">
            <v>32321.163499999999</v>
          </cell>
          <cell r="C68">
            <v>33678.142749999999</v>
          </cell>
          <cell r="D68">
            <v>35514.551500000001</v>
          </cell>
          <cell r="E68">
            <v>37165.614250000006</v>
          </cell>
          <cell r="F68">
            <v>35445.03325</v>
          </cell>
          <cell r="G68">
            <v>40672.774250000002</v>
          </cell>
          <cell r="H68">
            <v>40223.073250000001</v>
          </cell>
          <cell r="I68">
            <v>43493.622999999992</v>
          </cell>
          <cell r="J68">
            <v>45966.278250000003</v>
          </cell>
          <cell r="K68">
            <v>46977.416750000004</v>
          </cell>
          <cell r="L68">
            <v>46880.523249999998</v>
          </cell>
          <cell r="M68">
            <v>46843.016499999998</v>
          </cell>
          <cell r="N68">
            <v>46744.022499999999</v>
          </cell>
          <cell r="O68">
            <v>46843.431749999996</v>
          </cell>
          <cell r="P68">
            <v>48217.318500000008</v>
          </cell>
          <cell r="Q68">
            <v>49210.747000000003</v>
          </cell>
          <cell r="R68">
            <v>52596.301750000006</v>
          </cell>
          <cell r="S68">
            <v>55440.921749999994</v>
          </cell>
          <cell r="T68">
            <v>57743.714749999999</v>
          </cell>
          <cell r="U68">
            <v>56007.320500000002</v>
          </cell>
          <cell r="V68">
            <v>53977.950250000002</v>
          </cell>
          <cell r="W68">
            <v>54960.215000000004</v>
          </cell>
        </row>
        <row r="69">
          <cell r="B69">
            <v>33383.734749999996</v>
          </cell>
          <cell r="C69">
            <v>32398.851999999999</v>
          </cell>
          <cell r="D69">
            <v>32286.55125</v>
          </cell>
          <cell r="E69">
            <v>34629.472000000002</v>
          </cell>
          <cell r="F69">
            <v>34598.938500000004</v>
          </cell>
          <cell r="G69">
            <v>36332.542000000001</v>
          </cell>
          <cell r="H69">
            <v>37710.127999999997</v>
          </cell>
          <cell r="I69">
            <v>37051.359500000006</v>
          </cell>
          <cell r="J69">
            <v>41070.464749999999</v>
          </cell>
          <cell r="K69">
            <v>42739.058499999999</v>
          </cell>
          <cell r="L69">
            <v>43993.477749999998</v>
          </cell>
          <cell r="M69">
            <v>45149.44425</v>
          </cell>
          <cell r="N69">
            <v>46343.387000000002</v>
          </cell>
          <cell r="O69">
            <v>48041.233499999995</v>
          </cell>
          <cell r="P69">
            <v>48747.30575</v>
          </cell>
          <cell r="Q69">
            <v>51239.805500000002</v>
          </cell>
          <cell r="R69">
            <v>52300.336750000002</v>
          </cell>
          <cell r="S69">
            <v>54127.835749999998</v>
          </cell>
          <cell r="T69">
            <v>56240.306750000003</v>
          </cell>
          <cell r="U69">
            <v>54652.907249999997</v>
          </cell>
          <cell r="V69">
            <v>52507.308749999997</v>
          </cell>
          <cell r="W69">
            <v>53117.74725</v>
          </cell>
        </row>
        <row r="70">
          <cell r="B70">
            <v>34699.957999999999</v>
          </cell>
          <cell r="C70">
            <v>35868.167000000001</v>
          </cell>
          <cell r="D70">
            <v>37573.536500000002</v>
          </cell>
          <cell r="E70">
            <v>39449.130749999997</v>
          </cell>
          <cell r="F70">
            <v>41638.927750000003</v>
          </cell>
          <cell r="G70">
            <v>44577.077249999995</v>
          </cell>
          <cell r="H70">
            <v>49948.008000000002</v>
          </cell>
          <cell r="I70">
            <v>50521.436499999996</v>
          </cell>
          <cell r="J70">
            <v>50647.576999999997</v>
          </cell>
          <cell r="K70">
            <v>51926.661250000005</v>
          </cell>
          <cell r="L70">
            <v>51340.282499999994</v>
          </cell>
          <cell r="M70">
            <v>51210.203999999998</v>
          </cell>
          <cell r="N70">
            <v>50769.306499999999</v>
          </cell>
          <cell r="O70">
            <v>50886.761999999995</v>
          </cell>
          <cell r="P70">
            <v>52352.659249999997</v>
          </cell>
          <cell r="Q70">
            <v>53802.510500000004</v>
          </cell>
          <cell r="R70">
            <v>56127.945500000002</v>
          </cell>
          <cell r="S70">
            <v>58283.362499999996</v>
          </cell>
          <cell r="T70">
            <v>61058.657999999996</v>
          </cell>
          <cell r="U70">
            <v>57874.498999999996</v>
          </cell>
          <cell r="V70">
            <v>58023.392500000002</v>
          </cell>
          <cell r="W70">
            <v>59408.209749999995</v>
          </cell>
        </row>
        <row r="71">
          <cell r="B71">
            <v>34358.027500000004</v>
          </cell>
          <cell r="C71">
            <v>35716.147499999999</v>
          </cell>
          <cell r="D71">
            <v>38060.321250000001</v>
          </cell>
          <cell r="E71">
            <v>36577.804499999998</v>
          </cell>
          <cell r="F71">
            <v>38065.696250000001</v>
          </cell>
          <cell r="G71">
            <v>36924.4035</v>
          </cell>
          <cell r="H71">
            <v>40181.3995</v>
          </cell>
          <cell r="I71">
            <v>44127.377</v>
          </cell>
          <cell r="J71">
            <v>44596.054499999998</v>
          </cell>
          <cell r="K71">
            <v>46361.825250000002</v>
          </cell>
          <cell r="L71">
            <v>45694.074250000005</v>
          </cell>
          <cell r="M71">
            <v>45558.260750000001</v>
          </cell>
          <cell r="N71">
            <v>45886.351499999997</v>
          </cell>
          <cell r="O71">
            <v>47190.679499999998</v>
          </cell>
          <cell r="P71">
            <v>47673.9905</v>
          </cell>
          <cell r="Q71">
            <v>49251.231749999999</v>
          </cell>
          <cell r="R71">
            <v>50327.191499999994</v>
          </cell>
          <cell r="S71">
            <v>52487.408250000008</v>
          </cell>
          <cell r="T71">
            <v>53476.081249999996</v>
          </cell>
          <cell r="U71">
            <v>51594.514500000005</v>
          </cell>
          <cell r="V71">
            <v>52431.857250000001</v>
          </cell>
        </row>
        <row r="72">
          <cell r="B72">
            <v>33631.201000000001</v>
          </cell>
          <cell r="C72">
            <v>33914.632749999997</v>
          </cell>
          <cell r="D72">
            <v>35046.292999999998</v>
          </cell>
          <cell r="E72">
            <v>34096.271500000003</v>
          </cell>
          <cell r="F72">
            <v>35250.934250000006</v>
          </cell>
          <cell r="G72">
            <v>36834.00275</v>
          </cell>
          <cell r="H72">
            <v>38568.0625</v>
          </cell>
          <cell r="I72">
            <v>39427.055500000002</v>
          </cell>
          <cell r="J72">
            <v>40719.654999999999</v>
          </cell>
          <cell r="K72">
            <v>42404.000250000005</v>
          </cell>
          <cell r="L72">
            <v>43105.831749999998</v>
          </cell>
          <cell r="M72">
            <v>43614.604499999994</v>
          </cell>
          <cell r="N72">
            <v>44453.139750000002</v>
          </cell>
          <cell r="O72">
            <v>45622.677750000003</v>
          </cell>
          <cell r="P72">
            <v>47125.534250000004</v>
          </cell>
          <cell r="Q72">
            <v>50094.484499999999</v>
          </cell>
          <cell r="R72">
            <v>52995.285000000003</v>
          </cell>
          <cell r="S72">
            <v>56807.162750000003</v>
          </cell>
          <cell r="T72">
            <v>57443.285250000001</v>
          </cell>
          <cell r="U72">
            <v>55031.209750000002</v>
          </cell>
          <cell r="V72">
            <v>53151.594749999997</v>
          </cell>
          <cell r="W72">
            <v>54070.824249999991</v>
          </cell>
        </row>
        <row r="73">
          <cell r="B73">
            <v>34636.417000000001</v>
          </cell>
          <cell r="C73">
            <v>34783.954999999994</v>
          </cell>
          <cell r="D73">
            <v>33927.704250000003</v>
          </cell>
          <cell r="E73">
            <v>34646.887750000002</v>
          </cell>
          <cell r="F73">
            <v>34923.420749999997</v>
          </cell>
          <cell r="G73">
            <v>36264.508750000001</v>
          </cell>
          <cell r="H73">
            <v>39066.376750000003</v>
          </cell>
          <cell r="I73">
            <v>39759.657250000004</v>
          </cell>
          <cell r="J73">
            <v>41897.018499999998</v>
          </cell>
          <cell r="K73">
            <v>44370.008000000002</v>
          </cell>
          <cell r="L73">
            <v>45089.781999999999</v>
          </cell>
          <cell r="M73">
            <v>45221.430500000002</v>
          </cell>
          <cell r="N73">
            <v>45561.465750000003</v>
          </cell>
          <cell r="O73">
            <v>46965.383000000002</v>
          </cell>
          <cell r="P73">
            <v>48390.845999999998</v>
          </cell>
          <cell r="Q73">
            <v>49117.613000000005</v>
          </cell>
          <cell r="R73">
            <v>49266.660500000005</v>
          </cell>
          <cell r="S73">
            <v>49603.09575</v>
          </cell>
          <cell r="T73">
            <v>51756.211749999995</v>
          </cell>
          <cell r="U73">
            <v>50299.444499999998</v>
          </cell>
          <cell r="V73">
            <v>49733.229749999999</v>
          </cell>
          <cell r="W73">
            <v>50631.855499999998</v>
          </cell>
        </row>
        <row r="74">
          <cell r="B74">
            <v>33516.205999999998</v>
          </cell>
          <cell r="C74">
            <v>34162.130000000005</v>
          </cell>
          <cell r="D74">
            <v>35718.446000000004</v>
          </cell>
          <cell r="E74">
            <v>35172.044750000001</v>
          </cell>
          <cell r="F74">
            <v>36801.888750000006</v>
          </cell>
          <cell r="G74">
            <v>38888.059500000003</v>
          </cell>
          <cell r="H74">
            <v>41128.288999999997</v>
          </cell>
          <cell r="I74">
            <v>42400.761999999995</v>
          </cell>
          <cell r="J74">
            <v>44090.182499999995</v>
          </cell>
          <cell r="K74">
            <v>46118.870749999995</v>
          </cell>
          <cell r="L74">
            <v>46998.108500000002</v>
          </cell>
          <cell r="M74">
            <v>47740.124249999993</v>
          </cell>
          <cell r="N74">
            <v>48954.402249999999</v>
          </cell>
          <cell r="O74">
            <v>50361.696499999991</v>
          </cell>
          <cell r="P74">
            <v>52097.83</v>
          </cell>
          <cell r="Q74">
            <v>54515.298000000003</v>
          </cell>
          <cell r="R74">
            <v>57189.75475</v>
          </cell>
          <cell r="S74">
            <v>60086.061500000003</v>
          </cell>
          <cell r="T74">
            <v>61139.0245</v>
          </cell>
          <cell r="U74">
            <v>58525.214999999997</v>
          </cell>
          <cell r="V74">
            <v>57051.666999999994</v>
          </cell>
          <cell r="W74">
            <v>58350.707999999999</v>
          </cell>
        </row>
        <row r="75">
          <cell r="B75">
            <v>30149.63825</v>
          </cell>
          <cell r="C75">
            <v>28303.972999999998</v>
          </cell>
          <cell r="D75">
            <v>34952.742749999998</v>
          </cell>
          <cell r="E75">
            <v>36875.518499999998</v>
          </cell>
          <cell r="F75">
            <v>37155.567500000005</v>
          </cell>
          <cell r="G75">
            <v>38290.311499999996</v>
          </cell>
          <cell r="H75">
            <v>39177.589750000006</v>
          </cell>
          <cell r="I75">
            <v>45537.281000000003</v>
          </cell>
          <cell r="J75">
            <v>47415.613250000002</v>
          </cell>
          <cell r="K75">
            <v>48804.394500000002</v>
          </cell>
          <cell r="L75">
            <v>48986.511749999998</v>
          </cell>
          <cell r="M75">
            <v>49243.916000000005</v>
          </cell>
          <cell r="N75">
            <v>49388.380000000005</v>
          </cell>
          <cell r="O75">
            <v>49765.237500000003</v>
          </cell>
          <cell r="P75">
            <v>49765.116250000006</v>
          </cell>
          <cell r="Q75">
            <v>50288.035250000001</v>
          </cell>
          <cell r="R75">
            <v>53700.1345</v>
          </cell>
          <cell r="S75">
            <v>57497.758750000001</v>
          </cell>
          <cell r="T75">
            <v>59368.31925</v>
          </cell>
          <cell r="U75">
            <v>57489.75675</v>
          </cell>
          <cell r="V75">
            <v>57091.614249999999</v>
          </cell>
          <cell r="W75">
            <v>59209.609499999991</v>
          </cell>
        </row>
        <row r="76">
          <cell r="B76">
            <v>28054.047500000001</v>
          </cell>
          <cell r="C76">
            <v>27759.93075</v>
          </cell>
          <cell r="D76">
            <v>28178.843750000004</v>
          </cell>
          <cell r="E76">
            <v>29154.247000000003</v>
          </cell>
          <cell r="F76">
            <v>31390.777249999999</v>
          </cell>
          <cell r="G76">
            <v>32851.419249999999</v>
          </cell>
          <cell r="H76">
            <v>34011.145499999999</v>
          </cell>
          <cell r="I76">
            <v>36142.087</v>
          </cell>
          <cell r="J76">
            <v>36903.969000000005</v>
          </cell>
          <cell r="K76">
            <v>39022.360249999998</v>
          </cell>
          <cell r="L76">
            <v>39488.21875</v>
          </cell>
          <cell r="M76">
            <v>40331.324999999997</v>
          </cell>
          <cell r="N76">
            <v>40916.311749999993</v>
          </cell>
          <cell r="O76">
            <v>39990.597499999996</v>
          </cell>
          <cell r="P76">
            <v>40917.99725</v>
          </cell>
          <cell r="Q76">
            <v>41793.546999999999</v>
          </cell>
          <cell r="R76">
            <v>44636.104500000001</v>
          </cell>
          <cell r="S76">
            <v>47098.289749999996</v>
          </cell>
          <cell r="T76">
            <v>48675.129000000001</v>
          </cell>
          <cell r="U76">
            <v>46768.891499999998</v>
          </cell>
          <cell r="V76">
            <v>47864.413</v>
          </cell>
          <cell r="W76">
            <v>49816.060250000002</v>
          </cell>
        </row>
        <row r="77">
          <cell r="B77">
            <v>35703.266749999995</v>
          </cell>
          <cell r="C77">
            <v>36273.633749999994</v>
          </cell>
          <cell r="D77">
            <v>37760.586249999993</v>
          </cell>
          <cell r="E77">
            <v>36993.358500000002</v>
          </cell>
          <cell r="F77">
            <v>38489.716</v>
          </cell>
          <cell r="G77">
            <v>40442.848750000005</v>
          </cell>
          <cell r="H77">
            <v>42543.859250000001</v>
          </cell>
          <cell r="I77">
            <v>43642.285250000001</v>
          </cell>
          <cell r="J77">
            <v>45169.702999999994</v>
          </cell>
          <cell r="K77">
            <v>47067.000249999997</v>
          </cell>
          <cell r="L77">
            <v>48008.683499999999</v>
          </cell>
          <cell r="M77">
            <v>49362.575250000002</v>
          </cell>
          <cell r="N77">
            <v>50539.969749999997</v>
          </cell>
          <cell r="O77">
            <v>51333.472750000001</v>
          </cell>
          <cell r="P77">
            <v>53123.337</v>
          </cell>
          <cell r="Q77">
            <v>56196.281999999992</v>
          </cell>
          <cell r="R77">
            <v>59635.999750000003</v>
          </cell>
          <cell r="S77">
            <v>62720.629750000007</v>
          </cell>
          <cell r="T77">
            <v>63543.828249999999</v>
          </cell>
          <cell r="U77">
            <v>60925.269499999995</v>
          </cell>
          <cell r="V77">
            <v>59593.456000000006</v>
          </cell>
          <cell r="W77">
            <v>60847.96875</v>
          </cell>
        </row>
        <row r="78">
          <cell r="B78">
            <v>42110.0245</v>
          </cell>
          <cell r="C78">
            <v>43597.822249999997</v>
          </cell>
          <cell r="D78">
            <v>46247.108500000002</v>
          </cell>
          <cell r="E78">
            <v>46110.439750000005</v>
          </cell>
          <cell r="F78">
            <v>48730.399749999997</v>
          </cell>
          <cell r="G78">
            <v>51857.160250000001</v>
          </cell>
          <cell r="H78">
            <v>55058.804499999998</v>
          </cell>
          <cell r="I78">
            <v>56792.599750000001</v>
          </cell>
          <cell r="J78">
            <v>58826.951249999998</v>
          </cell>
          <cell r="K78">
            <v>61022.685749999997</v>
          </cell>
          <cell r="L78">
            <v>61725.130749999997</v>
          </cell>
          <cell r="M78">
            <v>63119.216500000002</v>
          </cell>
          <cell r="N78">
            <v>64131.770499999999</v>
          </cell>
          <cell r="O78">
            <v>64357.015749999999</v>
          </cell>
          <cell r="P78">
            <v>64632.931749999996</v>
          </cell>
          <cell r="Q78">
            <v>66575.629000000001</v>
          </cell>
          <cell r="R78">
            <v>69897.771500000003</v>
          </cell>
          <cell r="S78">
            <v>74019.892999999996</v>
          </cell>
          <cell r="T78">
            <v>76020.120999999999</v>
          </cell>
          <cell r="U78">
            <v>73879.843999999997</v>
          </cell>
          <cell r="V78">
            <v>72817.327999999994</v>
          </cell>
          <cell r="W78">
            <v>74340.576250000013</v>
          </cell>
        </row>
        <row r="79">
          <cell r="Q79">
            <v>76691.826250000013</v>
          </cell>
          <cell r="R79">
            <v>80617.697</v>
          </cell>
          <cell r="S79">
            <v>85423.343749999985</v>
          </cell>
          <cell r="T79">
            <v>87351.851749999987</v>
          </cell>
          <cell r="U79">
            <v>84580.212750000006</v>
          </cell>
          <cell r="V79">
            <v>83550.573999999993</v>
          </cell>
          <cell r="W79">
            <v>85667.960999999996</v>
          </cell>
        </row>
        <row r="80">
          <cell r="B80">
            <v>36060.313249999999</v>
          </cell>
          <cell r="C80">
            <v>38070.582249999999</v>
          </cell>
          <cell r="D80">
            <v>37902.755749999997</v>
          </cell>
          <cell r="E80">
            <v>39778.639749999995</v>
          </cell>
          <cell r="F80">
            <v>37330.827000000005</v>
          </cell>
          <cell r="G80">
            <v>39501.521500000003</v>
          </cell>
          <cell r="H80">
            <v>40625.355500000005</v>
          </cell>
          <cell r="I80">
            <v>49216.308499999999</v>
          </cell>
          <cell r="J80">
            <v>52229.440499999997</v>
          </cell>
          <cell r="K80">
            <v>51313.504000000001</v>
          </cell>
          <cell r="L80">
            <v>51420.160250000001</v>
          </cell>
          <cell r="M80">
            <v>51459.1855</v>
          </cell>
          <cell r="N80">
            <v>51413.872000000003</v>
          </cell>
          <cell r="O80">
            <v>52087.767500000002</v>
          </cell>
          <cell r="P80">
            <v>52777.11825</v>
          </cell>
          <cell r="Q80">
            <v>54659.175750000002</v>
          </cell>
          <cell r="R80">
            <v>58922.553749999999</v>
          </cell>
          <cell r="S80">
            <v>62817.489499999996</v>
          </cell>
          <cell r="T80">
            <v>65955.914000000004</v>
          </cell>
          <cell r="U80">
            <v>64217.709000000003</v>
          </cell>
          <cell r="V80">
            <v>63077.895499999999</v>
          </cell>
          <cell r="W80">
            <v>64900.93974999999</v>
          </cell>
        </row>
        <row r="81">
          <cell r="B81">
            <v>32010.07575</v>
          </cell>
          <cell r="C81">
            <v>31658.992750000001</v>
          </cell>
          <cell r="D81">
            <v>32364.622000000003</v>
          </cell>
          <cell r="E81">
            <v>33166.387499999997</v>
          </cell>
          <cell r="F81">
            <v>36475.843000000001</v>
          </cell>
          <cell r="G81">
            <v>35018.317500000005</v>
          </cell>
          <cell r="H81">
            <v>36179.946250000001</v>
          </cell>
          <cell r="I81">
            <v>38921.589999999997</v>
          </cell>
          <cell r="J81">
            <v>39746.703999999998</v>
          </cell>
          <cell r="K81">
            <v>41200.499250000001</v>
          </cell>
          <cell r="L81">
            <v>42535.00475</v>
          </cell>
          <cell r="M81">
            <v>43072.998999999996</v>
          </cell>
          <cell r="N81">
            <v>44007.108499999995</v>
          </cell>
          <cell r="O81">
            <v>42735.865250000003</v>
          </cell>
          <cell r="P81">
            <v>44589.116250000006</v>
          </cell>
          <cell r="Q81">
            <v>45252.759750000005</v>
          </cell>
          <cell r="R81">
            <v>47172.197249999997</v>
          </cell>
          <cell r="S81">
            <v>48536.233500000002</v>
          </cell>
          <cell r="T81">
            <v>51482.418999999994</v>
          </cell>
          <cell r="U81">
            <v>49960.229500000001</v>
          </cell>
          <cell r="V81">
            <v>48667.46</v>
          </cell>
          <cell r="W81">
            <v>49432.898499999996</v>
          </cell>
        </row>
        <row r="82">
          <cell r="B82">
            <v>32349.7245</v>
          </cell>
          <cell r="C82">
            <v>32459.660250000001</v>
          </cell>
          <cell r="D82">
            <v>31603.187249999999</v>
          </cell>
          <cell r="E82">
            <v>32805.282500000001</v>
          </cell>
          <cell r="F82">
            <v>34357.675749999995</v>
          </cell>
          <cell r="G82">
            <v>38798.921000000002</v>
          </cell>
          <cell r="H82">
            <v>38350.0285</v>
          </cell>
          <cell r="I82">
            <v>40401.269500000002</v>
          </cell>
          <cell r="J82">
            <v>43635.672749999998</v>
          </cell>
          <cell r="K82">
            <v>44462.8505</v>
          </cell>
          <cell r="L82">
            <v>45128.069499999998</v>
          </cell>
          <cell r="M82">
            <v>45800.230250000001</v>
          </cell>
          <cell r="N82">
            <v>46554.486250000002</v>
          </cell>
          <cell r="O82">
            <v>47610.137750000002</v>
          </cell>
          <cell r="P82">
            <v>48555.87225</v>
          </cell>
          <cell r="Q82">
            <v>49289.971749999997</v>
          </cell>
          <cell r="R82">
            <v>50141.457249999999</v>
          </cell>
          <cell r="S82">
            <v>52662.90425</v>
          </cell>
          <cell r="T82">
            <v>54473.351750000002</v>
          </cell>
          <cell r="U82">
            <v>52656.645499999999</v>
          </cell>
          <cell r="V82">
            <v>51402.095750000008</v>
          </cell>
          <cell r="W82">
            <v>52343.259749999997</v>
          </cell>
        </row>
        <row r="83">
          <cell r="B83">
            <v>31322.852500000001</v>
          </cell>
          <cell r="C83">
            <v>31430.029500000004</v>
          </cell>
          <cell r="D83">
            <v>30628.321250000001</v>
          </cell>
          <cell r="E83">
            <v>31243.301250000004</v>
          </cell>
          <cell r="F83">
            <v>31466.464999999997</v>
          </cell>
          <cell r="G83">
            <v>32653.127</v>
          </cell>
          <cell r="H83">
            <v>35160.863250000002</v>
          </cell>
          <cell r="I83">
            <v>35784.744000000006</v>
          </cell>
          <cell r="J83">
            <v>37735.829249999995</v>
          </cell>
          <cell r="K83">
            <v>40015.592749999996</v>
          </cell>
          <cell r="L83">
            <v>40748.572249999997</v>
          </cell>
          <cell r="M83">
            <v>41022.301999999996</v>
          </cell>
          <cell r="N83">
            <v>41566.073249999994</v>
          </cell>
          <cell r="O83">
            <v>42999.405249999996</v>
          </cell>
          <cell r="P83">
            <v>44391.474749999994</v>
          </cell>
          <cell r="Q83">
            <v>45608.722499999996</v>
          </cell>
          <cell r="R83">
            <v>46013.762499999997</v>
          </cell>
          <cell r="S83">
            <v>47009.133749999994</v>
          </cell>
          <cell r="T83">
            <v>48772.625</v>
          </cell>
          <cell r="U83">
            <v>48173.758000000002</v>
          </cell>
          <cell r="V83">
            <v>48207.217499999999</v>
          </cell>
          <cell r="W83">
            <v>49260.925750000002</v>
          </cell>
        </row>
        <row r="84">
          <cell r="B84">
            <v>27161.608250000001</v>
          </cell>
          <cell r="C84">
            <v>27895.456499999997</v>
          </cell>
          <cell r="D84">
            <v>28155.288999999997</v>
          </cell>
          <cell r="E84">
            <v>29539.285249999997</v>
          </cell>
          <cell r="F84">
            <v>30455.878499999999</v>
          </cell>
          <cell r="G84">
            <v>31079.663</v>
          </cell>
          <cell r="H84">
            <v>32162.173750000002</v>
          </cell>
          <cell r="I84">
            <v>34208.115000000005</v>
          </cell>
          <cell r="J84">
            <v>36934.587749999999</v>
          </cell>
          <cell r="K84">
            <v>37405.998999999996</v>
          </cell>
          <cell r="L84">
            <v>37586.312749999997</v>
          </cell>
          <cell r="M84">
            <v>37876.359250000009</v>
          </cell>
          <cell r="N84">
            <v>38227.781500000005</v>
          </cell>
          <cell r="O84">
            <v>38991.022500000006</v>
          </cell>
          <cell r="P84">
            <v>40671.21875</v>
          </cell>
          <cell r="Q84">
            <v>41787.980250000001</v>
          </cell>
          <cell r="R84">
            <v>44341.590749999996</v>
          </cell>
          <cell r="S84">
            <v>46203.817499999997</v>
          </cell>
          <cell r="T84">
            <v>45978.168999999994</v>
          </cell>
          <cell r="U84">
            <v>43388.292750000001</v>
          </cell>
          <cell r="V84">
            <v>43156.625999999997</v>
          </cell>
          <cell r="W84">
            <v>44496.026500000007</v>
          </cell>
        </row>
        <row r="85">
          <cell r="B85">
            <v>30076.6525</v>
          </cell>
          <cell r="C85">
            <v>29762.105250000001</v>
          </cell>
          <cell r="D85">
            <v>31287.828249999999</v>
          </cell>
          <cell r="E85">
            <v>31108.915499999999</v>
          </cell>
          <cell r="F85">
            <v>31649.555999999997</v>
          </cell>
          <cell r="G85">
            <v>34750.479500000001</v>
          </cell>
          <cell r="H85">
            <v>33978.493000000002</v>
          </cell>
          <cell r="I85">
            <v>36224.231499999994</v>
          </cell>
          <cell r="J85">
            <v>39328.967499999999</v>
          </cell>
          <cell r="K85">
            <v>39873.357499999998</v>
          </cell>
          <cell r="L85">
            <v>39989.873999999996</v>
          </cell>
          <cell r="M85">
            <v>39748.984499999999</v>
          </cell>
          <cell r="N85">
            <v>39674.560749999997</v>
          </cell>
          <cell r="O85">
            <v>40299.588749999995</v>
          </cell>
          <cell r="P85">
            <v>41025.983249999997</v>
          </cell>
          <cell r="Q85">
            <v>42151.995999999999</v>
          </cell>
          <cell r="R85">
            <v>43393.952250000002</v>
          </cell>
          <cell r="S85">
            <v>45662.737249999998</v>
          </cell>
          <cell r="T85">
            <v>46373.930500000002</v>
          </cell>
          <cell r="U85">
            <v>43291.549999999996</v>
          </cell>
          <cell r="V85">
            <v>42269.434249999998</v>
          </cell>
          <cell r="W85">
            <v>43496.067500000005</v>
          </cell>
        </row>
        <row r="86">
          <cell r="D86">
            <v>26877.440999999999</v>
          </cell>
          <cell r="E86">
            <v>28203.07375</v>
          </cell>
          <cell r="F86">
            <v>29209.579750000001</v>
          </cell>
          <cell r="G86">
            <v>29114.1515</v>
          </cell>
          <cell r="H86">
            <v>30195.434749999997</v>
          </cell>
          <cell r="I86">
            <v>31655.5095</v>
          </cell>
          <cell r="J86">
            <v>36365.430750000007</v>
          </cell>
          <cell r="K86">
            <v>36757.999000000003</v>
          </cell>
          <cell r="L86">
            <v>37121.917000000001</v>
          </cell>
          <cell r="M86">
            <v>37331.68475</v>
          </cell>
          <cell r="N86">
            <v>37598.856500000002</v>
          </cell>
          <cell r="O86">
            <v>37202.144500000002</v>
          </cell>
          <cell r="P86">
            <v>38069.676749999999</v>
          </cell>
          <cell r="Q86">
            <v>40593.419750000001</v>
          </cell>
          <cell r="R86">
            <v>43402.046000000002</v>
          </cell>
          <cell r="S86">
            <v>45532.182499999995</v>
          </cell>
          <cell r="T86">
            <v>46109.508000000002</v>
          </cell>
          <cell r="U86">
            <v>43766.857249999994</v>
          </cell>
          <cell r="V86">
            <v>42921.675999999999</v>
          </cell>
          <cell r="W86">
            <v>44174.644749999999</v>
          </cell>
        </row>
        <row r="87">
          <cell r="B87">
            <v>27660.642250000001</v>
          </cell>
          <cell r="C87">
            <v>28935.614000000001</v>
          </cell>
          <cell r="D87">
            <v>28789.440750000002</v>
          </cell>
          <cell r="E87">
            <v>29950.6495</v>
          </cell>
          <cell r="F87">
            <v>30823.909749999999</v>
          </cell>
          <cell r="G87">
            <v>30074.125499999998</v>
          </cell>
          <cell r="H87">
            <v>31347.545999999998</v>
          </cell>
          <cell r="I87">
            <v>35752.941250000003</v>
          </cell>
          <cell r="J87">
            <v>38354.963250000001</v>
          </cell>
          <cell r="K87">
            <v>37731.219750000004</v>
          </cell>
          <cell r="L87">
            <v>38431.183749999997</v>
          </cell>
          <cell r="M87">
            <v>39399.106249999997</v>
          </cell>
          <cell r="N87">
            <v>40290.3505</v>
          </cell>
          <cell r="O87">
            <v>39682.242250000003</v>
          </cell>
          <cell r="P87">
            <v>39656.582249999999</v>
          </cell>
          <cell r="Q87">
            <v>41388.560749999997</v>
          </cell>
          <cell r="R87">
            <v>43096.96875</v>
          </cell>
          <cell r="S87">
            <v>46143.963999999993</v>
          </cell>
          <cell r="T87">
            <v>47279.779000000002</v>
          </cell>
          <cell r="U87">
            <v>46108.977749999998</v>
          </cell>
          <cell r="V87">
            <v>46116.378750000003</v>
          </cell>
          <cell r="W87">
            <v>48938.240250000003</v>
          </cell>
        </row>
        <row r="88">
          <cell r="C88">
            <v>33167.356249999997</v>
          </cell>
          <cell r="D88">
            <v>35235.133750000001</v>
          </cell>
          <cell r="E88">
            <v>33843.538249999998</v>
          </cell>
          <cell r="F88">
            <v>35175.910000000003</v>
          </cell>
          <cell r="G88">
            <v>34059.80575</v>
          </cell>
          <cell r="H88">
            <v>37031.803750000006</v>
          </cell>
          <cell r="I88">
            <v>40717.637750000002</v>
          </cell>
          <cell r="J88">
            <v>41268.127249999998</v>
          </cell>
          <cell r="K88">
            <v>43054.755750000004</v>
          </cell>
          <cell r="L88">
            <v>42482.71125</v>
          </cell>
          <cell r="M88">
            <v>42269.897250000002</v>
          </cell>
          <cell r="O88">
            <v>43952.2745</v>
          </cell>
          <cell r="P88">
            <v>44419.857499999998</v>
          </cell>
          <cell r="Q88">
            <v>46590.817249999993</v>
          </cell>
          <cell r="R88">
            <v>48290.858249999997</v>
          </cell>
          <cell r="S88">
            <v>50901.394499999995</v>
          </cell>
          <cell r="T88">
            <v>52001.964749999999</v>
          </cell>
          <cell r="U88">
            <v>49766.546999999999</v>
          </cell>
          <cell r="V88">
            <v>50904.964749999999</v>
          </cell>
          <cell r="W88">
            <v>53273.422749999998</v>
          </cell>
        </row>
        <row r="89">
          <cell r="B89">
            <v>48231.794999999998</v>
          </cell>
          <cell r="C89">
            <v>48288.587</v>
          </cell>
          <cell r="D89">
            <v>49795.725749999998</v>
          </cell>
          <cell r="E89">
            <v>49732.492249999996</v>
          </cell>
          <cell r="F89">
            <v>50567.55575</v>
          </cell>
          <cell r="G89">
            <v>50747.825000000004</v>
          </cell>
          <cell r="H89">
            <v>54496.723749999997</v>
          </cell>
          <cell r="I89">
            <v>58462.3105</v>
          </cell>
          <cell r="J89">
            <v>60689.571500000005</v>
          </cell>
          <cell r="K89">
            <v>63383.274749999997</v>
          </cell>
          <cell r="L89">
            <v>65647.632750000004</v>
          </cell>
          <cell r="M89">
            <v>67616.548750000002</v>
          </cell>
          <cell r="N89">
            <v>69115.802750000003</v>
          </cell>
          <cell r="O89">
            <v>71063.808499999999</v>
          </cell>
          <cell r="P89">
            <v>72374.695500000002</v>
          </cell>
          <cell r="Q89">
            <v>76734.459249999985</v>
          </cell>
          <cell r="R89">
            <v>81064.581999999995</v>
          </cell>
          <cell r="S89">
            <v>85813.119250000003</v>
          </cell>
          <cell r="T89">
            <v>88916.429749999996</v>
          </cell>
          <cell r="U89">
            <v>87126.634749999997</v>
          </cell>
          <cell r="V89">
            <v>87932.082249999992</v>
          </cell>
          <cell r="W89">
            <v>91252.709000000003</v>
          </cell>
        </row>
        <row r="90">
          <cell r="B90">
            <v>32686.690999999999</v>
          </cell>
          <cell r="C90">
            <v>32214.42225</v>
          </cell>
          <cell r="D90">
            <v>33609.631000000001</v>
          </cell>
          <cell r="E90">
            <v>33178.797249999996</v>
          </cell>
          <cell r="F90">
            <v>31775.338</v>
          </cell>
          <cell r="G90">
            <v>34280.050750000002</v>
          </cell>
          <cell r="H90">
            <v>37044.702250000002</v>
          </cell>
          <cell r="I90">
            <v>41721.9755</v>
          </cell>
          <cell r="J90">
            <v>42253.394500000002</v>
          </cell>
          <cell r="K90">
            <v>42548.12025</v>
          </cell>
          <cell r="L90">
            <v>42165.290999999997</v>
          </cell>
          <cell r="M90">
            <v>41783.317500000005</v>
          </cell>
          <cell r="N90">
            <v>41376.668999999994</v>
          </cell>
          <cell r="O90">
            <v>42291.85325</v>
          </cell>
          <cell r="P90">
            <v>42722.59175</v>
          </cell>
          <cell r="Q90">
            <v>43442.655250000003</v>
          </cell>
          <cell r="R90">
            <v>45472.394749999992</v>
          </cell>
          <cell r="S90">
            <v>47013.619250000003</v>
          </cell>
          <cell r="T90">
            <v>49640.286999999997</v>
          </cell>
          <cell r="U90">
            <v>47416.902500000004</v>
          </cell>
          <cell r="V90">
            <v>47335.934499999996</v>
          </cell>
          <cell r="W90">
            <v>49301.587000000007</v>
          </cell>
        </row>
        <row r="91">
          <cell r="B91">
            <v>36414.890749999999</v>
          </cell>
          <cell r="C91">
            <v>36225.8485</v>
          </cell>
          <cell r="D91">
            <v>37228.674749999998</v>
          </cell>
          <cell r="E91">
            <v>38328.789000000004</v>
          </cell>
          <cell r="F91">
            <v>42307.512999999999</v>
          </cell>
          <cell r="G91">
            <v>40729.943500000001</v>
          </cell>
          <cell r="H91">
            <v>42159.014750000002</v>
          </cell>
          <cell r="I91">
            <v>45379.7405</v>
          </cell>
          <cell r="J91">
            <v>46303.289999999994</v>
          </cell>
          <cell r="L91">
            <v>49576.869250000003</v>
          </cell>
          <cell r="M91">
            <v>51642.232499999998</v>
          </cell>
          <cell r="N91">
            <v>54114.923000000003</v>
          </cell>
          <cell r="O91">
            <v>53346.545749999997</v>
          </cell>
          <cell r="P91">
            <v>55555.62775</v>
          </cell>
          <cell r="Q91">
            <v>56976.403250000003</v>
          </cell>
          <cell r="R91">
            <v>59810.743000000002</v>
          </cell>
          <cell r="S91">
            <v>62290.3995</v>
          </cell>
          <cell r="T91">
            <v>66096.397499999992</v>
          </cell>
          <cell r="U91">
            <v>64307.183500000006</v>
          </cell>
          <cell r="V91">
            <v>61731.055500000002</v>
          </cell>
          <cell r="W91">
            <v>63045.004499999995</v>
          </cell>
        </row>
        <row r="92">
          <cell r="B92">
            <v>26563.898250000002</v>
          </cell>
          <cell r="C92">
            <v>26726.62775</v>
          </cell>
          <cell r="D92">
            <v>27945.016500000002</v>
          </cell>
          <cell r="E92">
            <v>28209.23875</v>
          </cell>
          <cell r="F92">
            <v>28989.459000000003</v>
          </cell>
          <cell r="G92">
            <v>31878.96775</v>
          </cell>
          <cell r="H92">
            <v>31494.84375</v>
          </cell>
          <cell r="I92">
            <v>33687.840500000006</v>
          </cell>
          <cell r="J92">
            <v>36226.797749999998</v>
          </cell>
          <cell r="K92">
            <v>36271.852500000001</v>
          </cell>
          <cell r="L92">
            <v>36201.49325</v>
          </cell>
          <cell r="M92">
            <v>36064.864499999996</v>
          </cell>
          <cell r="N92">
            <v>35885.458750000005</v>
          </cell>
          <cell r="O92">
            <v>36227.360499999995</v>
          </cell>
          <cell r="P92">
            <v>36969.367250000003</v>
          </cell>
          <cell r="Q92">
            <v>38174.397500000006</v>
          </cell>
          <cell r="R92">
            <v>39321.225249999996</v>
          </cell>
          <cell r="S92">
            <v>40895.665250000005</v>
          </cell>
          <cell r="T92">
            <v>41526.54</v>
          </cell>
          <cell r="U92">
            <v>39425.152249999999</v>
          </cell>
          <cell r="V92">
            <v>39122.102499999994</v>
          </cell>
          <cell r="W92">
            <v>40421.006999999998</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1:C22"/>
  <sheetViews>
    <sheetView topLeftCell="B1" workbookViewId="0">
      <selection activeCell="C25" sqref="C25"/>
    </sheetView>
  </sheetViews>
  <sheetFormatPr defaultRowHeight="15"/>
  <cols>
    <col min="1" max="1" width="9.140625" style="184"/>
    <col min="2" max="2" width="10.5703125" style="184" customWidth="1"/>
    <col min="3" max="3" width="130.140625" style="184" bestFit="1" customWidth="1"/>
    <col min="4" max="16384" width="9.140625" style="184"/>
  </cols>
  <sheetData>
    <row r="1" spans="3:3" ht="54" customHeight="1">
      <c r="C1" s="245" t="s">
        <v>458</v>
      </c>
    </row>
    <row r="2" spans="3:3" ht="15" customHeight="1">
      <c r="C2" s="246"/>
    </row>
    <row r="3" spans="3:3" ht="18.75">
      <c r="C3" s="247" t="s">
        <v>457</v>
      </c>
    </row>
    <row r="5" spans="3:3">
      <c r="C5" s="248" t="s">
        <v>457</v>
      </c>
    </row>
    <row r="6" spans="3:3">
      <c r="C6" s="141" t="s">
        <v>456</v>
      </c>
    </row>
    <row r="7" spans="3:3">
      <c r="C7" s="141" t="s">
        <v>466</v>
      </c>
    </row>
    <row r="8" spans="3:3">
      <c r="C8" s="141" t="s">
        <v>467</v>
      </c>
    </row>
    <row r="9" spans="3:3" s="181" customFormat="1">
      <c r="C9" s="175" t="s">
        <v>475</v>
      </c>
    </row>
    <row r="10" spans="3:3">
      <c r="C10" s="141" t="s">
        <v>468</v>
      </c>
    </row>
    <row r="11" spans="3:3">
      <c r="C11" s="141" t="s">
        <v>474</v>
      </c>
    </row>
    <row r="13" spans="3:3">
      <c r="C13" s="248" t="s">
        <v>459</v>
      </c>
    </row>
    <row r="14" spans="3:3">
      <c r="C14" s="141" t="s">
        <v>448</v>
      </c>
    </row>
    <row r="15" spans="3:3">
      <c r="C15" s="141" t="s">
        <v>452</v>
      </c>
    </row>
    <row r="16" spans="3:3">
      <c r="C16" s="141" t="s">
        <v>453</v>
      </c>
    </row>
    <row r="17" spans="3:3">
      <c r="C17" s="141" t="s">
        <v>332</v>
      </c>
    </row>
    <row r="18" spans="3:3">
      <c r="C18" s="141" t="s">
        <v>333</v>
      </c>
    </row>
    <row r="19" spans="3:3">
      <c r="C19" s="141" t="s">
        <v>455</v>
      </c>
    </row>
    <row r="20" spans="3:3">
      <c r="C20" s="141" t="s">
        <v>410</v>
      </c>
    </row>
    <row r="21" spans="3:3">
      <c r="C21" s="141" t="s">
        <v>463</v>
      </c>
    </row>
    <row r="22" spans="3:3">
      <c r="C22" s="141" t="s">
        <v>465</v>
      </c>
    </row>
  </sheetData>
  <pageMargins left="0.7" right="0.7" top="0.75" bottom="0.75" header="0.3" footer="0.3"/>
  <pageSetup scale="69" orientation="portrait" r:id="rId1"/>
</worksheet>
</file>

<file path=xl/worksheets/sheet10.xml><?xml version="1.0" encoding="utf-8"?>
<worksheet xmlns="http://schemas.openxmlformats.org/spreadsheetml/2006/main" xmlns:r="http://schemas.openxmlformats.org/officeDocument/2006/relationships">
  <dimension ref="A2:W95"/>
  <sheetViews>
    <sheetView workbookViewId="0">
      <selection activeCell="I67" sqref="I67"/>
    </sheetView>
  </sheetViews>
  <sheetFormatPr defaultRowHeight="15"/>
  <cols>
    <col min="1" max="1" width="33.7109375" style="65" customWidth="1"/>
    <col min="2" max="23" width="9.140625" style="162"/>
    <col min="24" max="16384" width="9.140625" style="65"/>
  </cols>
  <sheetData>
    <row r="2" spans="1:23">
      <c r="A2" s="64" t="s">
        <v>453</v>
      </c>
    </row>
    <row r="5" spans="1:23">
      <c r="A5" s="49" t="s">
        <v>105</v>
      </c>
      <c r="B5" s="176">
        <v>1990</v>
      </c>
      <c r="C5" s="176">
        <v>1991</v>
      </c>
      <c r="D5" s="176">
        <v>1992</v>
      </c>
      <c r="E5" s="176">
        <v>1993</v>
      </c>
      <c r="F5" s="176">
        <v>1994</v>
      </c>
      <c r="G5" s="176">
        <v>1995</v>
      </c>
      <c r="H5" s="176">
        <v>1996</v>
      </c>
      <c r="I5" s="176">
        <v>1997</v>
      </c>
      <c r="J5" s="176">
        <v>1998</v>
      </c>
      <c r="K5" s="176">
        <v>1999</v>
      </c>
      <c r="L5" s="176">
        <v>2000</v>
      </c>
      <c r="M5" s="176">
        <v>2001</v>
      </c>
      <c r="N5" s="176">
        <v>2002</v>
      </c>
      <c r="O5" s="176">
        <v>2003</v>
      </c>
      <c r="P5" s="176">
        <v>2004</v>
      </c>
      <c r="Q5" s="176">
        <v>2005</v>
      </c>
      <c r="R5" s="176">
        <v>2006</v>
      </c>
      <c r="S5" s="176">
        <v>2007</v>
      </c>
      <c r="T5" s="176">
        <v>2008</v>
      </c>
      <c r="U5" s="176">
        <v>2009</v>
      </c>
      <c r="V5" s="176">
        <v>2010</v>
      </c>
      <c r="W5" s="176">
        <v>2011</v>
      </c>
    </row>
    <row r="6" spans="1:23">
      <c r="A6" s="65" t="s">
        <v>107</v>
      </c>
      <c r="B6" s="177">
        <f>'[6]Payment - 10% down'!B7/('[6]Final income'!B7/12)</f>
        <v>0.21145410816770013</v>
      </c>
      <c r="C6" s="177">
        <f>'[6]Payment - 10% down'!C7/('[6]Final income'!C7/12)</f>
        <v>0.20731835746164054</v>
      </c>
      <c r="D6" s="177">
        <f>'[6]Payment - 10% down'!D7/('[6]Final income'!D7/12)</f>
        <v>0.19949535811171326</v>
      </c>
      <c r="E6" s="177">
        <f>'[6]Payment - 10% down'!E7/('[6]Final income'!E7/12)</f>
        <v>0.18687053416668367</v>
      </c>
      <c r="F6" s="177">
        <f>'[6]Payment - 10% down'!F7/('[6]Final income'!F7/12)</f>
        <v>0.20574016304408257</v>
      </c>
      <c r="G6" s="177">
        <f>'[6]Payment - 10% down'!G7/('[6]Final income'!G7/12)</f>
        <v>0.19298975091988457</v>
      </c>
      <c r="H6" s="177">
        <f>'[6]Payment - 10% down'!H7/('[6]Final income'!H7/12)</f>
        <v>0.20812390239126558</v>
      </c>
      <c r="I6" s="177">
        <f>'[6]Payment - 10% down'!I7/('[6]Final income'!I7/12)</f>
        <v>0.20504671002200719</v>
      </c>
      <c r="J6" s="177">
        <f>'[6]Payment - 10% down'!J7/('[6]Final income'!J7/12)</f>
        <v>0.17836320832362645</v>
      </c>
      <c r="K6" s="177">
        <f>'[6]Payment - 10% down'!K7/('[6]Final income'!K7/12)</f>
        <v>0.18305941960675895</v>
      </c>
      <c r="L6" s="177">
        <f>'[6]Payment - 10% down'!L7/('[6]Final income'!L7/12)</f>
        <v>0.2054742308765812</v>
      </c>
      <c r="M6" s="177">
        <f>'[6]Payment - 10% down'!M7/('[6]Final income'!M7/12)</f>
        <v>0.19241892085210885</v>
      </c>
      <c r="N6" s="177">
        <f>'[6]Payment - 10% down'!N7/('[6]Final income'!N7/12)</f>
        <v>0.18807091679906138</v>
      </c>
      <c r="O6" s="177">
        <f>'[6]Payment - 10% down'!O7/('[6]Final income'!O7/12)</f>
        <v>0.17437845943130056</v>
      </c>
      <c r="P6" s="177">
        <f>'[6]Payment - 10% down'!P7/('[6]Final income'!P7/12)</f>
        <v>0.16949325591719699</v>
      </c>
      <c r="Q6" s="177">
        <f>'[6]Payment - 10% down'!Q7/('[6]Final income'!Q7/12)</f>
        <v>0.17116556239571951</v>
      </c>
      <c r="R6" s="177">
        <f>'[6]Payment - 10% down'!R7/('[6]Final income'!R7/12)</f>
        <v>0.16963922254328176</v>
      </c>
      <c r="S6" s="177">
        <f>'[6]Payment - 10% down'!S7/('[6]Final income'!S7/12)</f>
        <v>0.16679764806269515</v>
      </c>
      <c r="T6" s="177">
        <f>'[6]Payment - 10% down'!T7/('[6]Final income'!T7/12)</f>
        <v>0.13170964558889503</v>
      </c>
      <c r="U6" s="177">
        <f>'[6]Payment - 10% down'!U7/('[6]Final income'!U7/12)</f>
        <v>0.1091684210285139</v>
      </c>
      <c r="V6" s="177">
        <f>'[6]Payment - 10% down'!V7/('[6]Final income'!V7/12)</f>
        <v>0.12836455154486545</v>
      </c>
      <c r="W6" s="177">
        <f>'[6]Payment - 10% down'!W7/('[6]Final income'!W7/12)</f>
        <v>0.10240430985450985</v>
      </c>
    </row>
    <row r="7" spans="1:23">
      <c r="A7" s="65" t="s">
        <v>108</v>
      </c>
      <c r="B7" s="177">
        <f>'[6]Payment - 10% down'!B8/('[6]Final income'!B8/12)</f>
        <v>0.30352227523982911</v>
      </c>
      <c r="C7" s="177">
        <f>'[6]Payment - 10% down'!C8/('[6]Final income'!C8/12)</f>
        <v>0.28796047789249229</v>
      </c>
      <c r="D7" s="177">
        <f>'[6]Payment - 10% down'!D8/('[6]Final income'!D8/12)</f>
        <v>0.27541079198642082</v>
      </c>
      <c r="E7" s="177">
        <f>'[6]Payment - 10% down'!E8/('[6]Final income'!E8/12)</f>
        <v>0.24415845182793675</v>
      </c>
      <c r="F7" s="177">
        <f>'[6]Payment - 10% down'!F8/('[6]Final income'!F8/12)</f>
        <v>0.2678566676139314</v>
      </c>
      <c r="G7" s="177">
        <f>'[6]Payment - 10% down'!G8/('[6]Final income'!G8/12)</f>
        <v>0.23321140099857246</v>
      </c>
      <c r="H7" s="177">
        <f>'[6]Payment - 10% down'!H8/('[6]Final income'!H8/12)</f>
        <v>0.21543824797562022</v>
      </c>
      <c r="I7" s="177">
        <f>'[6]Payment - 10% down'!I8/('[6]Final income'!I8/12)</f>
        <v>0.20361289757933246</v>
      </c>
      <c r="J7" s="177">
        <f>'[6]Payment - 10% down'!J8/('[6]Final income'!J8/12)</f>
        <v>0.18318882252676844</v>
      </c>
      <c r="K7" s="177">
        <f>'[6]Payment - 10% down'!K8/('[6]Final income'!K8/12)</f>
        <v>0.18033912588109699</v>
      </c>
      <c r="L7" s="177">
        <f>'[6]Payment - 10% down'!L8/('[6]Final income'!L8/12)</f>
        <v>0.19580451901527043</v>
      </c>
      <c r="M7" s="177">
        <f>'[6]Payment - 10% down'!M8/('[6]Final income'!M8/12)</f>
        <v>0.19099358305077216</v>
      </c>
      <c r="N7" s="177">
        <f>'[6]Payment - 10% down'!N8/('[6]Final income'!N8/12)</f>
        <v>0.18580835347232919</v>
      </c>
      <c r="O7" s="177">
        <f>'[6]Payment - 10% down'!O8/('[6]Final income'!O8/12)</f>
        <v>0.18630523661816836</v>
      </c>
      <c r="P7" s="177">
        <f>'[6]Payment - 10% down'!P8/('[6]Final income'!P8/12)</f>
        <v>0.20386669050798728</v>
      </c>
      <c r="Q7" s="177">
        <f>'[6]Payment - 10% down'!Q8/('[6]Final income'!Q8/12)</f>
        <v>0.22657710416572105</v>
      </c>
      <c r="R7" s="177">
        <f>'[6]Payment - 10% down'!R8/('[6]Final income'!R8/12)</f>
        <v>0.25063946179180113</v>
      </c>
      <c r="S7" s="177">
        <f>'[6]Payment - 10% down'!S8/('[6]Final income'!S8/12)</f>
        <v>0.24913309149729893</v>
      </c>
      <c r="T7" s="177">
        <f>'[6]Payment - 10% down'!T8/('[6]Final income'!T8/12)</f>
        <v>0.22696239233828919</v>
      </c>
      <c r="U7" s="177">
        <f>'[6]Payment - 10% down'!U8/('[6]Final income'!U8/12)</f>
        <v>0.1966663420570971</v>
      </c>
      <c r="V7" s="177">
        <f>'[6]Payment - 10% down'!V8/('[6]Final income'!V8/12)</f>
        <v>0.19639684476215041</v>
      </c>
      <c r="W7" s="177">
        <f>'[6]Payment - 10% down'!W8/('[6]Final income'!W8/12)</f>
        <v>0.18205369133206337</v>
      </c>
    </row>
    <row r="8" spans="1:23">
      <c r="A8" s="65" t="s">
        <v>109</v>
      </c>
      <c r="B8" s="177">
        <f>'[6]Payment - 10% down'!B9/('[6]Final income'!B9/12)</f>
        <v>0.27435186777508708</v>
      </c>
      <c r="C8" s="177">
        <f>'[6]Payment - 10% down'!C9/('[6]Final income'!C9/12)</f>
        <v>0.24499721588270645</v>
      </c>
      <c r="D8" s="177">
        <f>'[6]Payment - 10% down'!D9/('[6]Final income'!D9/12)</f>
        <v>0.24551097222460527</v>
      </c>
      <c r="E8" s="177">
        <f>'[6]Payment - 10% down'!E9/('[6]Final income'!E9/12)</f>
        <v>0.2320942411520211</v>
      </c>
      <c r="F8" s="177">
        <f>'[6]Payment - 10% down'!F9/('[6]Final income'!F9/12)</f>
        <v>0.27865009559999593</v>
      </c>
      <c r="G8" s="177">
        <f>'[6]Payment - 10% down'!G9/('[6]Final income'!G9/12)</f>
        <v>0.29246714010857505</v>
      </c>
      <c r="H8" s="177">
        <f>'[6]Payment - 10% down'!H9/('[6]Final income'!H9/12)</f>
        <v>0.31298303224017782</v>
      </c>
      <c r="I8" s="177">
        <f>'[6]Payment - 10% down'!I9/('[6]Final income'!I9/12)</f>
        <v>0.26393204500257622</v>
      </c>
      <c r="J8" s="177">
        <f>'[6]Payment - 10% down'!J9/('[6]Final income'!J9/12)</f>
        <v>0.2380097055129029</v>
      </c>
      <c r="K8" s="177">
        <f>'[6]Payment - 10% down'!K9/('[6]Final income'!K9/12)</f>
        <v>0.25078764095334061</v>
      </c>
      <c r="L8" s="177">
        <f>'[6]Payment - 10% down'!L9/('[6]Final income'!L9/12)</f>
        <v>0.26200434426316932</v>
      </c>
      <c r="M8" s="177">
        <f>'[6]Payment - 10% down'!M9/('[6]Final income'!M9/12)</f>
        <v>0.24112620202032345</v>
      </c>
      <c r="N8" s="177">
        <f>'[6]Payment - 10% down'!N9/('[6]Final income'!N9/12)</f>
        <v>0.22431096768540476</v>
      </c>
      <c r="O8" s="177">
        <f>'[6]Payment - 10% down'!O9/('[6]Final income'!O9/12)</f>
        <v>0.22256857815529385</v>
      </c>
      <c r="P8" s="177">
        <f>'[6]Payment - 10% down'!P9/('[6]Final income'!P9/12)</f>
        <v>0.22524577752503996</v>
      </c>
      <c r="Q8" s="177">
        <f>'[6]Payment - 10% down'!Q9/('[6]Final income'!Q9/12)</f>
        <v>0.24958847435309403</v>
      </c>
      <c r="R8" s="177">
        <f>'[6]Payment - 10% down'!R9/('[6]Final income'!R9/12)</f>
        <v>0.27178621953583681</v>
      </c>
      <c r="S8" s="177">
        <f>'[6]Payment - 10% down'!S9/('[6]Final income'!S9/12)</f>
        <v>0.28894426017550023</v>
      </c>
      <c r="T8" s="177">
        <f>'[6]Payment - 10% down'!T9/('[6]Final income'!T9/12)</f>
        <v>0.25933670129849878</v>
      </c>
      <c r="U8" s="177">
        <f>'[6]Payment - 10% down'!U9/('[6]Final income'!U9/12)</f>
        <v>0.22235831236249082</v>
      </c>
      <c r="V8" s="177">
        <f>'[6]Payment - 10% down'!V9/('[6]Final income'!V9/12)</f>
        <v>0.21459452817404168</v>
      </c>
      <c r="W8" s="177">
        <f>'[6]Payment - 10% down'!W9/('[6]Final income'!W9/12)</f>
        <v>0.19167584784909836</v>
      </c>
    </row>
    <row r="9" spans="1:23">
      <c r="A9" s="65" t="s">
        <v>110</v>
      </c>
      <c r="B9" s="177" t="s">
        <v>25</v>
      </c>
      <c r="C9" s="177" t="s">
        <v>25</v>
      </c>
      <c r="D9" s="177" t="s">
        <v>25</v>
      </c>
      <c r="E9" s="177" t="s">
        <v>25</v>
      </c>
      <c r="F9" s="177" t="s">
        <v>25</v>
      </c>
      <c r="G9" s="177" t="s">
        <v>25</v>
      </c>
      <c r="H9" s="177" t="s">
        <v>25</v>
      </c>
      <c r="I9" s="177" t="s">
        <v>25</v>
      </c>
      <c r="J9" s="177" t="s">
        <v>25</v>
      </c>
      <c r="K9" s="177" t="s">
        <v>25</v>
      </c>
      <c r="L9" s="177">
        <f>'[6]Payment - 10% down'!L10/('[6]Final income'!L10/12)</f>
        <v>0.19989454341259585</v>
      </c>
      <c r="M9" s="177">
        <f>'[6]Payment - 10% down'!M10/('[6]Final income'!M10/12)</f>
        <v>0.19105256047561447</v>
      </c>
      <c r="N9" s="177">
        <f>'[6]Payment - 10% down'!N10/('[6]Final income'!N10/12)</f>
        <v>0.2348854596884323</v>
      </c>
      <c r="O9" s="177">
        <f>'[6]Payment - 10% down'!O10/('[6]Final income'!O10/12)</f>
        <v>0.24596350287714513</v>
      </c>
      <c r="P9" s="177">
        <f>'[6]Payment - 10% down'!P10/('[6]Final income'!P10/12)</f>
        <v>0.26688528346867563</v>
      </c>
      <c r="Q9" s="177">
        <f>'[6]Payment - 10% down'!Q10/('[6]Final income'!Q10/12)</f>
        <v>0.30289939409148908</v>
      </c>
      <c r="R9" s="177">
        <f>'[6]Payment - 10% down'!R10/('[6]Final income'!R10/12)</f>
        <v>0.32140416639855246</v>
      </c>
      <c r="S9" s="177">
        <f>'[6]Payment - 10% down'!S10/('[6]Final income'!S10/12)</f>
        <v>0.3165714298179278</v>
      </c>
      <c r="T9" s="177">
        <f>'[6]Payment - 10% down'!T10/('[6]Final income'!T10/12)</f>
        <v>0.27539538506888439</v>
      </c>
      <c r="U9" s="177">
        <f>'[6]Payment - 10% down'!U10/('[6]Final income'!U10/12)</f>
        <v>0.23046462807928259</v>
      </c>
      <c r="V9" s="177">
        <f>'[6]Payment - 10% down'!V10/('[6]Final income'!V10/12)</f>
        <v>0.22519493654823663</v>
      </c>
      <c r="W9" s="177">
        <f>'[6]Payment - 10% down'!W10/('[6]Final income'!W10/12)</f>
        <v>0.17533454649568977</v>
      </c>
    </row>
    <row r="10" spans="1:23">
      <c r="A10" s="65" t="s">
        <v>111</v>
      </c>
      <c r="B10" s="177">
        <f>'[6]Payment - 10% down'!B11/('[6]Final income'!B11/12)</f>
        <v>0.23043229061081152</v>
      </c>
      <c r="C10" s="177">
        <f>'[6]Payment - 10% down'!C11/('[6]Final income'!C11/12)</f>
        <v>0.21831461559568355</v>
      </c>
      <c r="D10" s="177">
        <f>'[6]Payment - 10% down'!D11/('[6]Final income'!D11/12)</f>
        <v>0.19465953970112529</v>
      </c>
      <c r="E10" s="177">
        <f>'[6]Payment - 10% down'!E11/('[6]Final income'!E11/12)</f>
        <v>0.16274981257407492</v>
      </c>
      <c r="F10" s="177">
        <f>'[6]Payment - 10% down'!F11/('[6]Final income'!F11/12)</f>
        <v>0.18493228380353921</v>
      </c>
      <c r="G10" s="177">
        <f>'[6]Payment - 10% down'!G11/('[6]Final income'!G11/12)</f>
        <v>0.16945318807391788</v>
      </c>
      <c r="H10" s="177">
        <f>'[6]Payment - 10% down'!H11/('[6]Final income'!H11/12)</f>
        <v>0.18197397190704873</v>
      </c>
      <c r="I10" s="177">
        <f>'[6]Payment - 10% down'!I11/('[6]Final income'!I11/12)</f>
        <v>0.16914797003408097</v>
      </c>
      <c r="J10" s="177">
        <f>'[6]Payment - 10% down'!J11/('[6]Final income'!J11/12)</f>
        <v>0.16117635353562187</v>
      </c>
      <c r="K10" s="177">
        <f>'[6]Payment - 10% down'!K11/('[6]Final income'!K11/12)</f>
        <v>0.17852963988514808</v>
      </c>
      <c r="L10" s="177">
        <f>'[6]Payment - 10% down'!L11/('[6]Final income'!L11/12)</f>
        <v>0.20195504280788859</v>
      </c>
      <c r="M10" s="177">
        <f>'[6]Payment - 10% down'!M11/('[6]Final income'!M11/12)</f>
        <v>0.19312324169464551</v>
      </c>
      <c r="N10" s="177">
        <f>'[6]Payment - 10% down'!N11/('[6]Final income'!N11/12)</f>
        <v>0.19553742566832566</v>
      </c>
      <c r="O10" s="177">
        <f>'[6]Payment - 10% down'!O11/('[6]Final income'!O11/12)</f>
        <v>0.18668167899959778</v>
      </c>
      <c r="P10" s="177">
        <f>'[6]Payment - 10% down'!P11/('[6]Final income'!P11/12)</f>
        <v>0.19310395647996925</v>
      </c>
      <c r="Q10" s="177">
        <f>'[6]Payment - 10% down'!Q11/('[6]Final income'!Q11/12)</f>
        <v>0.19543513723358452</v>
      </c>
      <c r="R10" s="177">
        <f>'[6]Payment - 10% down'!R11/('[6]Final income'!R11/12)</f>
        <v>0.20674942225018877</v>
      </c>
      <c r="S10" s="177">
        <f>'[6]Payment - 10% down'!S11/('[6]Final income'!S11/12)</f>
        <v>0.195750448674095</v>
      </c>
      <c r="T10" s="177">
        <f>'[6]Payment - 10% down'!T11/('[6]Final income'!T11/12)</f>
        <v>0.15812562151543097</v>
      </c>
      <c r="U10" s="177">
        <f>'[6]Payment - 10% down'!U11/('[6]Final income'!U11/12)</f>
        <v>0.12600633063825764</v>
      </c>
      <c r="V10" s="177">
        <f>'[6]Payment - 10% down'!V11/('[6]Final income'!V11/12)</f>
        <v>0.11569490391373628</v>
      </c>
      <c r="W10" s="177">
        <f>'[6]Payment - 10% down'!W11/('[6]Final income'!W11/12)</f>
        <v>9.634990559826187E-2</v>
      </c>
    </row>
    <row r="11" spans="1:23">
      <c r="A11" s="65" t="s">
        <v>112</v>
      </c>
      <c r="B11" s="177" t="s">
        <v>25</v>
      </c>
      <c r="C11" s="177">
        <f>'[6]Payment - 10% down'!C12/('[6]Final income'!C12/12)</f>
        <v>0.21424952943647296</v>
      </c>
      <c r="D11" s="177">
        <f>'[6]Payment - 10% down'!D12/('[6]Final income'!D12/12)</f>
        <v>0.20907944151559554</v>
      </c>
      <c r="E11" s="177">
        <f>'[6]Payment - 10% down'!E12/('[6]Final income'!E12/12)</f>
        <v>0.19434449899881059</v>
      </c>
      <c r="F11" s="177">
        <f>'[6]Payment - 10% down'!F12/('[6]Final income'!F12/12)</f>
        <v>0.20751569460557617</v>
      </c>
      <c r="G11" s="177">
        <f>'[6]Payment - 10% down'!G12/('[6]Final income'!G12/12)</f>
        <v>0.19745149569415738</v>
      </c>
      <c r="H11" s="177">
        <f>'[6]Payment - 10% down'!H12/('[6]Final income'!H12/12)</f>
        <v>0.19883443683457996</v>
      </c>
      <c r="I11" s="177">
        <f>'[6]Payment - 10% down'!I12/('[6]Final income'!I12/12)</f>
        <v>0.1987047004387465</v>
      </c>
      <c r="J11" s="177">
        <f>'[6]Payment - 10% down'!J12/('[6]Final income'!J12/12)</f>
        <v>0.19034275826829242</v>
      </c>
      <c r="K11" s="177">
        <f>'[6]Payment - 10% down'!K12/('[6]Final income'!K12/12)</f>
        <v>0.19864543484634631</v>
      </c>
      <c r="L11" s="177">
        <f>'[6]Payment - 10% down'!L12/('[6]Final income'!L12/12)</f>
        <v>0.2383441158140556</v>
      </c>
      <c r="M11" s="177">
        <f>'[6]Payment - 10% down'!M12/('[6]Final income'!M12/12)</f>
        <v>0.2167939242099288</v>
      </c>
      <c r="N11" s="177">
        <f>'[6]Payment - 10% down'!N12/('[6]Final income'!N12/12)</f>
        <v>0.21152038356565925</v>
      </c>
      <c r="O11" s="177">
        <f>'[6]Payment - 10% down'!O12/('[6]Final income'!O12/12)</f>
        <v>0.20164442625655515</v>
      </c>
      <c r="P11" s="177">
        <f>'[6]Payment - 10% down'!P12/('[6]Final income'!P12/12)</f>
        <v>0.19726655696999337</v>
      </c>
      <c r="Q11" s="177">
        <f>'[6]Payment - 10% down'!Q12/('[6]Final income'!Q12/12)</f>
        <v>0.20822789065544584</v>
      </c>
      <c r="R11" s="177">
        <f>'[6]Payment - 10% down'!R12/('[6]Final income'!R12/12)</f>
        <v>0.21985124731502709</v>
      </c>
      <c r="S11" s="177">
        <f>'[6]Payment - 10% down'!S12/('[6]Final income'!S12/12)</f>
        <v>0.21888043405924468</v>
      </c>
      <c r="T11" s="177">
        <f>'[6]Payment - 10% down'!T12/('[6]Final income'!T12/12)</f>
        <v>0.20730941714432474</v>
      </c>
      <c r="U11" s="177">
        <f>'[6]Payment - 10% down'!U12/('[6]Final income'!U12/12)</f>
        <v>0.19171252771525144</v>
      </c>
      <c r="V11" s="177">
        <f>'[6]Payment - 10% down'!V12/('[6]Final income'!V12/12)</f>
        <v>0.19132577201617723</v>
      </c>
      <c r="W11" s="177">
        <f>'[6]Payment - 10% down'!W12/('[6]Final income'!W12/12)</f>
        <v>0.17916649964056169</v>
      </c>
    </row>
    <row r="12" spans="1:23">
      <c r="A12" s="65" t="s">
        <v>113</v>
      </c>
      <c r="B12" s="177">
        <f>'[6]Payment - 10% down'!B13/('[6]Final income'!B13/12)</f>
        <v>0.21919259343164665</v>
      </c>
      <c r="C12" s="177">
        <f>'[6]Payment - 10% down'!C13/('[6]Final income'!C13/12)</f>
        <v>0.22316596112476064</v>
      </c>
      <c r="D12" s="177">
        <f>'[6]Payment - 10% down'!D13/('[6]Final income'!D13/12)</f>
        <v>0.21262960809240075</v>
      </c>
      <c r="E12" s="177">
        <f>'[6]Payment - 10% down'!E13/('[6]Final income'!E13/12)</f>
        <v>0.18251583128038479</v>
      </c>
      <c r="F12" s="177">
        <f>'[6]Payment - 10% down'!F13/('[6]Final income'!F13/12)</f>
        <v>0.2056341517928767</v>
      </c>
      <c r="G12" s="177">
        <f>'[6]Payment - 10% down'!G13/('[6]Final income'!G13/12)</f>
        <v>0.18266176263554504</v>
      </c>
      <c r="H12" s="177">
        <f>'[6]Payment - 10% down'!H13/('[6]Final income'!H13/12)</f>
        <v>0.17141232768520964</v>
      </c>
      <c r="I12" s="177">
        <f>'[6]Payment - 10% down'!I13/('[6]Final income'!I13/12)</f>
        <v>0.16641048425618896</v>
      </c>
      <c r="J12" s="177">
        <f>'[6]Payment - 10% down'!J13/('[6]Final income'!J13/12)</f>
        <v>0.14883552318551227</v>
      </c>
      <c r="K12" s="177">
        <f>'[6]Payment - 10% down'!K13/('[6]Final income'!K13/12)</f>
        <v>0.16111650077933085</v>
      </c>
      <c r="L12" s="177">
        <f>'[6]Payment - 10% down'!L13/('[6]Final income'!L13/12)</f>
        <v>0.19928227421407124</v>
      </c>
      <c r="M12" s="177">
        <f>'[6]Payment - 10% down'!M13/('[6]Final income'!M13/12)</f>
        <v>0.18554878924139093</v>
      </c>
      <c r="N12" s="177">
        <f>'[6]Payment - 10% down'!N13/('[6]Final income'!N13/12)</f>
        <v>0.19888613468214494</v>
      </c>
      <c r="O12" s="177">
        <f>'[6]Payment - 10% down'!O13/('[6]Final income'!O13/12)</f>
        <v>0.2114084037730512</v>
      </c>
      <c r="P12" s="177">
        <f>'[6]Payment - 10% down'!P13/('[6]Final income'!P13/12)</f>
        <v>0.25255258027817135</v>
      </c>
      <c r="Q12" s="177">
        <f>'[6]Payment - 10% down'!Q13/('[6]Final income'!Q13/12)</f>
        <v>0.28622785407687623</v>
      </c>
      <c r="R12" s="177">
        <f>'[6]Payment - 10% down'!R13/('[6]Final income'!R13/12)</f>
        <v>0.30489156831580766</v>
      </c>
      <c r="S12" s="177">
        <f>'[6]Payment - 10% down'!S13/('[6]Final income'!S13/12)</f>
        <v>0.29515772928940576</v>
      </c>
      <c r="T12" s="177">
        <f>'[6]Payment - 10% down'!T13/('[6]Final income'!T13/12)</f>
        <v>0.26328082756267734</v>
      </c>
      <c r="U12" s="177">
        <f>'[6]Payment - 10% down'!U13/('[6]Final income'!U13/12)</f>
        <v>0.22123905281142459</v>
      </c>
      <c r="V12" s="177">
        <f>'[6]Payment - 10% down'!V13/('[6]Final income'!V13/12)</f>
        <v>0.2084479778260486</v>
      </c>
      <c r="W12" s="177">
        <f>'[6]Payment - 10% down'!W13/('[6]Final income'!W13/12)</f>
        <v>0.18257008916188733</v>
      </c>
    </row>
    <row r="13" spans="1:23">
      <c r="A13" s="65" t="s">
        <v>114</v>
      </c>
      <c r="B13" s="177">
        <f>'[6]Payment - 10% down'!B14/('[6]Final income'!B14/12)</f>
        <v>0.24043123983302359</v>
      </c>
      <c r="C13" s="177">
        <f>'[6]Payment - 10% down'!C14/('[6]Final income'!C14/12)</f>
        <v>0.21130320997396626</v>
      </c>
      <c r="D13" s="177">
        <f>'[6]Payment - 10% down'!D14/('[6]Final income'!D14/12)</f>
        <v>0.20701388042030602</v>
      </c>
      <c r="E13" s="177">
        <f>'[6]Payment - 10% down'!E14/('[6]Final income'!E14/12)</f>
        <v>0.18670192796459445</v>
      </c>
      <c r="F13" s="177">
        <f>'[6]Payment - 10% down'!F14/('[6]Final income'!F14/12)</f>
        <v>0.21717850989908863</v>
      </c>
      <c r="G13" s="177">
        <f>'[6]Payment - 10% down'!G14/('[6]Final income'!G14/12)</f>
        <v>0.20813073023444417</v>
      </c>
      <c r="H13" s="177">
        <f>'[6]Payment - 10% down'!H14/('[6]Final income'!H14/12)</f>
        <v>0.19819168542652524</v>
      </c>
      <c r="I13" s="177">
        <f>'[6]Payment - 10% down'!I14/('[6]Final income'!I14/12)</f>
        <v>0.18564603796130227</v>
      </c>
      <c r="J13" s="177">
        <f>'[6]Payment - 10% down'!J14/('[6]Final income'!J14/12)</f>
        <v>0.19356126298142345</v>
      </c>
      <c r="K13" s="177">
        <f>'[6]Payment - 10% down'!K14/('[6]Final income'!K14/12)</f>
        <v>0.20789251836799033</v>
      </c>
      <c r="L13" s="177">
        <f>'[6]Payment - 10% down'!L14/('[6]Final income'!L14/12)</f>
        <v>0.23061974106819924</v>
      </c>
      <c r="M13" s="177">
        <f>'[6]Payment - 10% down'!M14/('[6]Final income'!M14/12)</f>
        <v>0.21522336643035528</v>
      </c>
      <c r="N13" s="177">
        <f>'[6]Payment - 10% down'!N14/('[6]Final income'!N14/12)</f>
        <v>0.20918965004563322</v>
      </c>
      <c r="O13" s="177">
        <f>'[6]Payment - 10% down'!O14/('[6]Final income'!O14/12)</f>
        <v>0.19802498321918552</v>
      </c>
      <c r="P13" s="177">
        <f>'[6]Payment - 10% down'!P14/('[6]Final income'!P14/12)</f>
        <v>0.20380311144069171</v>
      </c>
      <c r="Q13" s="177">
        <f>'[6]Payment - 10% down'!Q14/('[6]Final income'!Q14/12)</f>
        <v>0.22165545161230629</v>
      </c>
      <c r="R13" s="177">
        <f>'[6]Payment - 10% down'!R14/('[6]Final income'!R14/12)</f>
        <v>0.25926188497050973</v>
      </c>
      <c r="S13" s="177">
        <f>'[6]Payment - 10% down'!S14/('[6]Final income'!S14/12)</f>
        <v>0.25330089120030869</v>
      </c>
      <c r="T13" s="177">
        <f>'[6]Payment - 10% down'!T14/('[6]Final income'!T14/12)</f>
        <v>0.21657559728070436</v>
      </c>
      <c r="U13" s="177">
        <f>'[6]Payment - 10% down'!U14/('[6]Final income'!U14/12)</f>
        <v>0.1975043630020161</v>
      </c>
      <c r="V13" s="177">
        <f>'[6]Payment - 10% down'!V14/('[6]Final income'!V14/12)</f>
        <v>0.19620102875921533</v>
      </c>
      <c r="W13" s="177">
        <f>'[6]Payment - 10% down'!W14/('[6]Final income'!W14/12)</f>
        <v>0.17484817357540366</v>
      </c>
    </row>
    <row r="14" spans="1:23">
      <c r="A14" s="65" t="s">
        <v>115</v>
      </c>
      <c r="B14" s="177">
        <f>'[6]Payment - 10% down'!B15/('[6]Final income'!B15/12)</f>
        <v>0.27614641342169044</v>
      </c>
      <c r="C14" s="177">
        <f>'[6]Payment - 10% down'!C15/('[6]Final income'!C15/12)</f>
        <v>0.26641878026598975</v>
      </c>
      <c r="D14" s="177">
        <f>'[6]Payment - 10% down'!D15/('[6]Final income'!D15/12)</f>
        <v>0.24964382773042984</v>
      </c>
      <c r="E14" s="177">
        <f>'[6]Payment - 10% down'!E15/('[6]Final income'!E15/12)</f>
        <v>0.24795675834757697</v>
      </c>
      <c r="F14" s="177">
        <f>'[6]Payment - 10% down'!F15/('[6]Final income'!F15/12)</f>
        <v>0.26790420371262563</v>
      </c>
      <c r="G14" s="177">
        <f>'[6]Payment - 10% down'!G15/('[6]Final income'!G15/12)</f>
        <v>0.28339517984888718</v>
      </c>
      <c r="H14" s="177">
        <f>'[6]Payment - 10% down'!H15/('[6]Final income'!H15/12)</f>
        <v>0.26808192232026734</v>
      </c>
      <c r="I14" s="177">
        <f>'[6]Payment - 10% down'!I15/('[6]Final income'!I15/12)</f>
        <v>0.26260883766142085</v>
      </c>
      <c r="J14" s="177">
        <f>'[6]Payment - 10% down'!J15/('[6]Final income'!J15/12)</f>
        <v>0.22816669335413819</v>
      </c>
      <c r="K14" s="177">
        <f>'[6]Payment - 10% down'!K15/('[6]Final income'!K15/12)</f>
        <v>0.24789923996597077</v>
      </c>
      <c r="L14" s="177">
        <f>'[6]Payment - 10% down'!L15/('[6]Final income'!L15/12)</f>
        <v>0.25634834446602639</v>
      </c>
      <c r="M14" s="177">
        <f>'[6]Payment - 10% down'!M15/('[6]Final income'!M15/12)</f>
        <v>0.24149484900341925</v>
      </c>
      <c r="N14" s="177">
        <f>'[6]Payment - 10% down'!N15/('[6]Final income'!N15/12)</f>
        <v>0.23375231343377159</v>
      </c>
      <c r="O14" s="177">
        <f>'[6]Payment - 10% down'!O15/('[6]Final income'!O15/12)</f>
        <v>0.21664592119417497</v>
      </c>
      <c r="P14" s="177">
        <f>'[6]Payment - 10% down'!P15/('[6]Final income'!P15/12)</f>
        <v>0.22155456276018273</v>
      </c>
      <c r="Q14" s="177">
        <f>'[6]Payment - 10% down'!Q15/('[6]Final income'!Q15/12)</f>
        <v>0.23642092673735324</v>
      </c>
      <c r="R14" s="177">
        <f>'[6]Payment - 10% down'!R15/('[6]Final income'!R15/12)</f>
        <v>0.2501533708144188</v>
      </c>
      <c r="S14" s="177">
        <f>'[6]Payment - 10% down'!S15/('[6]Final income'!S15/12)</f>
        <v>0.2302583816520114</v>
      </c>
      <c r="T14" s="177">
        <f>'[6]Payment - 10% down'!T15/('[6]Final income'!T15/12)</f>
        <v>0.20001066182371266</v>
      </c>
      <c r="U14" s="177">
        <f>'[6]Payment - 10% down'!U15/('[6]Final income'!U15/12)</f>
        <v>0.18143987141749038</v>
      </c>
      <c r="V14" s="177">
        <f>'[6]Payment - 10% down'!V15/('[6]Final income'!V15/12)</f>
        <v>0.17404019421769051</v>
      </c>
      <c r="W14" s="177">
        <f>'[6]Payment - 10% down'!W15/('[6]Final income'!W15/12)</f>
        <v>0.16178031047111702</v>
      </c>
    </row>
    <row r="15" spans="1:23">
      <c r="A15" s="65" t="s">
        <v>116</v>
      </c>
      <c r="B15" s="177">
        <f>'[6]Payment - 10% down'!B16/('[6]Final income'!B16/12)</f>
        <v>0.22944472014140002</v>
      </c>
      <c r="C15" s="177">
        <f>'[6]Payment - 10% down'!C16/('[6]Final income'!C16/12)</f>
        <v>0.22687383717344267</v>
      </c>
      <c r="D15" s="177">
        <f>'[6]Payment - 10% down'!D16/('[6]Final income'!D16/12)</f>
        <v>0.21151246114312247</v>
      </c>
      <c r="E15" s="177">
        <f>'[6]Payment - 10% down'!E16/('[6]Final income'!E16/12)</f>
        <v>0.1863403090952834</v>
      </c>
      <c r="F15" s="177">
        <f>'[6]Payment - 10% down'!F16/('[6]Final income'!F16/12)</f>
        <v>0.2202678323499038</v>
      </c>
      <c r="G15" s="177">
        <f>'[6]Payment - 10% down'!G16/('[6]Final income'!G16/12)</f>
        <v>0.20202936660942383</v>
      </c>
      <c r="H15" s="177">
        <f>'[6]Payment - 10% down'!H16/('[6]Final income'!H16/12)</f>
        <v>0.19198470904733461</v>
      </c>
      <c r="I15" s="177">
        <f>'[6]Payment - 10% down'!I16/('[6]Final income'!I16/12)</f>
        <v>0.19749262502478138</v>
      </c>
      <c r="J15" s="177">
        <f>'[6]Payment - 10% down'!J16/('[6]Final income'!J16/12)</f>
        <v>0.18000348012307191</v>
      </c>
      <c r="K15" s="177">
        <f>'[6]Payment - 10% down'!K16/('[6]Final income'!K16/12)</f>
        <v>0.21802980249949822</v>
      </c>
      <c r="L15" s="177">
        <f>'[6]Payment - 10% down'!L16/('[6]Final income'!L16/12)</f>
        <v>0.23666725844042577</v>
      </c>
      <c r="M15" s="177">
        <f>'[6]Payment - 10% down'!M16/('[6]Final income'!M16/12)</f>
        <v>0.21553870855701743</v>
      </c>
      <c r="N15" s="177">
        <f>'[6]Payment - 10% down'!N16/('[6]Final income'!N16/12)</f>
        <v>0.19995456205367687</v>
      </c>
      <c r="O15" s="177">
        <f>'[6]Payment - 10% down'!O16/('[6]Final income'!O16/12)</f>
        <v>0.18422791531069174</v>
      </c>
      <c r="P15" s="177">
        <f>'[6]Payment - 10% down'!P16/('[6]Final income'!P16/12)</f>
        <v>0.19171875983855574</v>
      </c>
      <c r="Q15" s="177">
        <f>'[6]Payment - 10% down'!Q16/('[6]Final income'!Q16/12)</f>
        <v>0.21242311026635663</v>
      </c>
      <c r="R15" s="177">
        <f>'[6]Payment - 10% down'!R16/('[6]Final income'!R16/12)</f>
        <v>0.28938348973732136</v>
      </c>
      <c r="S15" s="177">
        <f>'[6]Payment - 10% down'!S16/('[6]Final income'!S16/12)</f>
        <v>0.26528119328588856</v>
      </c>
      <c r="T15" s="177">
        <f>'[6]Payment - 10% down'!T16/('[6]Final income'!T16/12)</f>
        <v>0.22706326361167414</v>
      </c>
      <c r="U15" s="177">
        <f>'[6]Payment - 10% down'!U16/('[6]Final income'!U16/12)</f>
        <v>0.18197081867627493</v>
      </c>
      <c r="V15" s="177">
        <f>'[6]Payment - 10% down'!V16/('[6]Final income'!V16/12)</f>
        <v>0.16411246582966346</v>
      </c>
      <c r="W15" s="177">
        <f>'[6]Payment - 10% down'!W16/('[6]Final income'!W16/12)</f>
        <v>0.13491654385228541</v>
      </c>
    </row>
    <row r="16" spans="1:23">
      <c r="A16" s="65" t="s">
        <v>117</v>
      </c>
      <c r="B16" s="177">
        <f>'[6]Payment - 10% down'!B17/('[6]Final income'!B17/12)</f>
        <v>0.37203374502300751</v>
      </c>
      <c r="C16" s="177">
        <f>'[6]Payment - 10% down'!C17/('[6]Final income'!C17/12)</f>
        <v>0.33810827559959905</v>
      </c>
      <c r="D16" s="177">
        <f>'[6]Payment - 10% down'!D17/('[6]Final income'!D17/12)</f>
        <v>0.30400200418009582</v>
      </c>
      <c r="E16" s="177">
        <f>'[6]Payment - 10% down'!E17/('[6]Final income'!E17/12)</f>
        <v>0.26841245639327405</v>
      </c>
      <c r="F16" s="177">
        <f>'[6]Payment - 10% down'!F17/('[6]Final income'!F17/12)</f>
        <v>0.2834009941555331</v>
      </c>
      <c r="G16" s="177">
        <f>'[6]Payment - 10% down'!G17/('[6]Final income'!G17/12)</f>
        <v>0.27764797798920204</v>
      </c>
      <c r="H16" s="177">
        <f>'[6]Payment - 10% down'!H17/('[6]Final income'!H17/12)</f>
        <v>0.27955794578653431</v>
      </c>
      <c r="I16" s="177" t="s">
        <v>25</v>
      </c>
      <c r="J16" s="177" t="s">
        <v>25</v>
      </c>
      <c r="K16" s="177">
        <f>'[6]Payment - 10% down'!K17/('[6]Final income'!K17/12)</f>
        <v>0.3286952356595973</v>
      </c>
      <c r="L16" s="177">
        <f>'[6]Payment - 10% down'!L17/('[6]Final income'!L17/12)</f>
        <v>0.38740363120461974</v>
      </c>
      <c r="M16" s="177">
        <f>'[6]Payment - 10% down'!M17/('[6]Final income'!M17/12)</f>
        <v>0.35293511434219721</v>
      </c>
      <c r="N16" s="177">
        <f>'[6]Payment - 10% down'!N17/('[6]Final income'!N17/12)</f>
        <v>0.37780017218383938</v>
      </c>
      <c r="O16" s="177">
        <f>'[6]Payment - 10% down'!O17/('[6]Final income'!O17/12)</f>
        <v>0.38768388590324615</v>
      </c>
      <c r="P16" s="177">
        <f>'[6]Payment - 10% down'!P17/('[6]Final income'!P17/12)</f>
        <v>0.40775280000985192</v>
      </c>
      <c r="Q16" s="177">
        <f>'[6]Payment - 10% down'!Q17/('[6]Final income'!Q17/12)</f>
        <v>0.42259042580339584</v>
      </c>
      <c r="R16" s="177">
        <f>'[6]Payment - 10% down'!R17/('[6]Final income'!R17/12)</f>
        <v>0.41927289211935287</v>
      </c>
      <c r="S16" s="177">
        <f>'[6]Payment - 10% down'!S17/('[6]Final income'!S17/12)</f>
        <v>0.39457426913619736</v>
      </c>
      <c r="T16" s="177">
        <f>'[6]Payment - 10% down'!T17/('[6]Final income'!T17/12)</f>
        <v>0.32850454080388747</v>
      </c>
      <c r="U16" s="177">
        <f>'[6]Payment - 10% down'!U17/('[6]Final income'!U17/12)</f>
        <v>0.27365617752625482</v>
      </c>
      <c r="V16" s="177">
        <f>'[6]Payment - 10% down'!V17/('[6]Final income'!V17/12)</f>
        <v>0.28784243983713637</v>
      </c>
      <c r="W16" s="177">
        <f>'[6]Payment - 10% down'!W17/('[6]Final income'!W17/12)</f>
        <v>0.26879634395818297</v>
      </c>
    </row>
    <row r="17" spans="1:23">
      <c r="A17" s="65" t="s">
        <v>118</v>
      </c>
      <c r="B17" s="177" t="s">
        <v>25</v>
      </c>
      <c r="C17" s="177" t="s">
        <v>25</v>
      </c>
      <c r="D17" s="177" t="s">
        <v>25</v>
      </c>
      <c r="E17" s="177" t="s">
        <v>25</v>
      </c>
      <c r="F17" s="177" t="s">
        <v>25</v>
      </c>
      <c r="G17" s="177" t="s">
        <v>25</v>
      </c>
      <c r="H17" s="177" t="s">
        <v>25</v>
      </c>
      <c r="I17" s="177" t="s">
        <v>25</v>
      </c>
      <c r="J17" s="177" t="s">
        <v>25</v>
      </c>
      <c r="K17" s="177" t="s">
        <v>25</v>
      </c>
      <c r="L17" s="177" t="s">
        <v>25</v>
      </c>
      <c r="M17" s="177" t="s">
        <v>25</v>
      </c>
      <c r="N17" s="177">
        <f>'[6]Payment - 10% down'!N18/('[6]Final income'!N18/12)</f>
        <v>0.37830068379104798</v>
      </c>
      <c r="O17" s="177">
        <f>'[6]Payment - 10% down'!O18/('[6]Final income'!O18/12)</f>
        <v>0.39578056801710526</v>
      </c>
      <c r="P17" s="177">
        <f>'[6]Payment - 10% down'!P18/('[6]Final income'!P18/12)</f>
        <v>0.4018438019750864</v>
      </c>
      <c r="Q17" s="177">
        <f>'[6]Payment - 10% down'!Q18/('[6]Final income'!Q18/12)</f>
        <v>0.43055085940529825</v>
      </c>
      <c r="R17" s="177">
        <f>'[6]Payment - 10% down'!R18/('[6]Final income'!R18/12)</f>
        <v>0.42921783314529988</v>
      </c>
      <c r="S17" s="177">
        <f>'[6]Payment - 10% down'!S18/('[6]Final income'!S18/12)</f>
        <v>0.40654217479023319</v>
      </c>
      <c r="T17" s="177">
        <f>'[6]Payment - 10% down'!T18/('[6]Final income'!T18/12)</f>
        <v>0.33617327564055027</v>
      </c>
      <c r="U17" s="177">
        <f>'[6]Payment - 10% down'!U18/('[6]Final income'!U18/12)</f>
        <v>0.26783848134412119</v>
      </c>
      <c r="V17" s="177">
        <f>'[6]Payment - 10% down'!V18/('[6]Final income'!V18/12)</f>
        <v>0.2950327155306563</v>
      </c>
      <c r="W17" s="177">
        <f>'[6]Payment - 10% down'!W18/('[6]Final income'!W18/12)</f>
        <v>0.28350206058596295</v>
      </c>
    </row>
    <row r="18" spans="1:23">
      <c r="A18" s="65" t="s">
        <v>119</v>
      </c>
      <c r="B18" s="177">
        <f>'[6]Payment - 10% down'!B19/('[6]Final income'!B19/12)</f>
        <v>0.26250524164190653</v>
      </c>
      <c r="C18" s="177">
        <f>'[6]Payment - 10% down'!C19/('[6]Final income'!C19/12)</f>
        <v>0.24915917540373955</v>
      </c>
      <c r="D18" s="177">
        <f>'[6]Payment - 10% down'!D19/('[6]Final income'!D19/12)</f>
        <v>0.24036907429987278</v>
      </c>
      <c r="E18" s="177">
        <f>'[6]Payment - 10% down'!E19/('[6]Final income'!E19/12)</f>
        <v>0.21413939275286081</v>
      </c>
      <c r="F18" s="177">
        <f>'[6]Payment - 10% down'!F19/('[6]Final income'!F19/12)</f>
        <v>0.23082742834738168</v>
      </c>
      <c r="G18" s="177">
        <f>'[6]Payment - 10% down'!G19/('[6]Final income'!G19/12)</f>
        <v>0.20833895369002009</v>
      </c>
      <c r="H18" s="177">
        <f>'[6]Payment - 10% down'!H19/('[6]Final income'!H19/12)</f>
        <v>0.19339525743316069</v>
      </c>
      <c r="I18" s="177">
        <f>'[6]Payment - 10% down'!I19/('[6]Final income'!I19/12)</f>
        <v>0.18341160032625667</v>
      </c>
      <c r="J18" s="177">
        <f>'[6]Payment - 10% down'!J19/('[6]Final income'!J19/12)</f>
        <v>0.16748811771326388</v>
      </c>
      <c r="K18" s="177">
        <f>'[6]Payment - 10% down'!K19/('[6]Final income'!K19/12)</f>
        <v>0.16077232234199712</v>
      </c>
      <c r="L18" s="177">
        <f>'[6]Payment - 10% down'!L19/('[6]Final income'!L19/12)</f>
        <v>0.16507270231328436</v>
      </c>
      <c r="M18" s="177">
        <f>'[6]Payment - 10% down'!M19/('[6]Final income'!M19/12)</f>
        <v>0.15516493148943422</v>
      </c>
      <c r="N18" s="177">
        <f>'[6]Payment - 10% down'!N19/('[6]Final income'!N19/12)</f>
        <v>0.14913633524675132</v>
      </c>
      <c r="O18" s="177">
        <f>'[6]Payment - 10% down'!O19/('[6]Final income'!O19/12)</f>
        <v>0.13845487052616043</v>
      </c>
      <c r="P18" s="177">
        <f>'[6]Payment - 10% down'!P19/('[6]Final income'!P19/12)</f>
        <v>0.13969302729300584</v>
      </c>
      <c r="Q18" s="177">
        <f>'[6]Payment - 10% down'!Q19/('[6]Final income'!Q19/12)</f>
        <v>0.14257506829750391</v>
      </c>
      <c r="R18" s="177">
        <f>'[6]Payment - 10% down'!R19/('[6]Final income'!R19/12)</f>
        <v>0.1514843420491746</v>
      </c>
      <c r="S18" s="177">
        <f>'[6]Payment - 10% down'!S19/('[6]Final income'!S19/12)</f>
        <v>0.15632187288720756</v>
      </c>
      <c r="T18" s="177">
        <f>'[6]Payment - 10% down'!T19/('[6]Final income'!T19/12)</f>
        <v>0.14913812112413452</v>
      </c>
      <c r="U18" s="177">
        <f>'[6]Payment - 10% down'!U19/('[6]Final income'!U19/12)</f>
        <v>0.14246297985809583</v>
      </c>
      <c r="V18" s="177">
        <f>'[6]Payment - 10% down'!V19/('[6]Final income'!V19/12)</f>
        <v>0.14782167747487371</v>
      </c>
      <c r="W18" s="177">
        <f>'[6]Payment - 10% down'!W19/('[6]Final income'!W19/12)</f>
        <v>0.13754712952535847</v>
      </c>
    </row>
    <row r="19" spans="1:23">
      <c r="A19" s="65" t="s">
        <v>120</v>
      </c>
      <c r="B19" s="177">
        <f>'[6]Payment - 10% down'!B20/('[6]Final income'!B20/12)</f>
        <v>0.22270375080719526</v>
      </c>
      <c r="C19" s="177">
        <f>'[6]Payment - 10% down'!C20/('[6]Final income'!C20/12)</f>
        <v>0.20685715163807158</v>
      </c>
      <c r="D19" s="177">
        <f>'[6]Payment - 10% down'!D20/('[6]Final income'!D20/12)</f>
        <v>0.189033338813417</v>
      </c>
      <c r="E19" s="177">
        <f>'[6]Payment - 10% down'!E20/('[6]Final income'!E20/12)</f>
        <v>0.17538502356268021</v>
      </c>
      <c r="F19" s="177">
        <f>'[6]Payment - 10% down'!F20/('[6]Final income'!F20/12)</f>
        <v>0.19088174488326007</v>
      </c>
      <c r="G19" s="177">
        <f>'[6]Payment - 10% down'!G20/('[6]Final income'!G20/12)</f>
        <v>0.17846332514550789</v>
      </c>
      <c r="H19" s="177">
        <f>'[6]Payment - 10% down'!H20/('[6]Final income'!H20/12)</f>
        <v>0.17347080999700534</v>
      </c>
      <c r="I19" s="177">
        <f>'[6]Payment - 10% down'!I20/('[6]Final income'!I20/12)</f>
        <v>0.17425663201490635</v>
      </c>
      <c r="J19" s="177">
        <f>'[6]Payment - 10% down'!J20/('[6]Final income'!J20/12)</f>
        <v>0.15728557320876879</v>
      </c>
      <c r="K19" s="177">
        <f>'[6]Payment - 10% down'!K20/('[6]Final income'!K20/12)</f>
        <v>0.17567494822873739</v>
      </c>
      <c r="L19" s="177">
        <f>'[6]Payment - 10% down'!L20/('[6]Final income'!L20/12)</f>
        <v>0.20114160807902479</v>
      </c>
      <c r="M19" s="177">
        <f>'[6]Payment - 10% down'!M20/('[6]Final income'!M20/12)</f>
        <v>0.21902792030620002</v>
      </c>
      <c r="N19" s="177">
        <f>'[6]Payment - 10% down'!N20/('[6]Final income'!N20/12)</f>
        <v>0.22286373544582344</v>
      </c>
      <c r="O19" s="177">
        <f>'[6]Payment - 10% down'!O20/('[6]Final income'!O20/12)</f>
        <v>0.22813741388840464</v>
      </c>
      <c r="P19" s="177">
        <f>'[6]Payment - 10% down'!P20/('[6]Final income'!P20/12)</f>
        <v>0.26782116656929728</v>
      </c>
      <c r="Q19" s="177">
        <f>'[6]Payment - 10% down'!Q20/('[6]Final income'!Q20/12)</f>
        <v>0.37025468824072133</v>
      </c>
      <c r="R19" s="177">
        <f>'[6]Payment - 10% down'!R20/('[6]Final income'!R20/12)</f>
        <v>0.36176760830693044</v>
      </c>
      <c r="S19" s="177">
        <f>'[6]Payment - 10% down'!S20/('[6]Final income'!S20/12)</f>
        <v>0.32140926670555481</v>
      </c>
      <c r="T19" s="177">
        <f>'[6]Payment - 10% down'!T20/('[6]Final income'!T20/12)</f>
        <v>0.21169937200784295</v>
      </c>
      <c r="U19" s="177">
        <f>'[6]Payment - 10% down'!U20/('[6]Final income'!U20/12)</f>
        <v>0.11155543131457947</v>
      </c>
      <c r="V19" s="177">
        <f>'[6]Payment - 10% down'!V20/('[6]Final income'!V20/12)</f>
        <v>0.11287122208836314</v>
      </c>
      <c r="W19" s="177">
        <f>'[6]Payment - 10% down'!W20/('[6]Final income'!W20/12)</f>
        <v>0.12530907260248519</v>
      </c>
    </row>
    <row r="20" spans="1:23">
      <c r="A20" s="65" t="s">
        <v>121</v>
      </c>
      <c r="B20" s="177">
        <f>'[6]Payment - 10% down'!B21/('[6]Final income'!B21/12)</f>
        <v>0.22361227854440335</v>
      </c>
      <c r="C20" s="177">
        <f>'[6]Payment - 10% down'!C21/('[6]Final income'!C21/12)</f>
        <v>0.2271678435350348</v>
      </c>
      <c r="D20" s="177">
        <f>'[6]Payment - 10% down'!D21/('[6]Final income'!D21/12)</f>
        <v>0.21798984183511791</v>
      </c>
      <c r="E20" s="177">
        <f>'[6]Payment - 10% down'!E21/('[6]Final income'!E21/12)</f>
        <v>0.22849778837334442</v>
      </c>
      <c r="F20" s="177">
        <f>'[6]Payment - 10% down'!F21/('[6]Final income'!F21/12)</f>
        <v>0.22507627640167294</v>
      </c>
      <c r="G20" s="177">
        <f>'[6]Payment - 10% down'!G21/('[6]Final income'!G21/12)</f>
        <v>0.22806988062656891</v>
      </c>
      <c r="H20" s="177">
        <f>'[6]Payment - 10% down'!H21/('[6]Final income'!H21/12)</f>
        <v>0.19101511754704142</v>
      </c>
      <c r="I20" s="177">
        <f>'[6]Payment - 10% down'!I21/('[6]Final income'!I21/12)</f>
        <v>0.20720327410909758</v>
      </c>
      <c r="J20" s="177">
        <f>'[6]Payment - 10% down'!J21/('[6]Final income'!J21/12)</f>
        <v>0.23082792249961387</v>
      </c>
      <c r="K20" s="177">
        <f>'[6]Payment - 10% down'!K21/('[6]Final income'!K21/12)</f>
        <v>0.25088298410576831</v>
      </c>
      <c r="L20" s="177">
        <f>'[6]Payment - 10% down'!L21/('[6]Final income'!L21/12)</f>
        <v>0.27504810408712105</v>
      </c>
      <c r="M20" s="177">
        <f>'[6]Payment - 10% down'!M21/('[6]Final income'!M21/12)</f>
        <v>0.26613605854982836</v>
      </c>
      <c r="N20" s="177">
        <f>'[6]Payment - 10% down'!N21/('[6]Final income'!N21/12)</f>
        <v>0.26675970688966677</v>
      </c>
      <c r="O20" s="177">
        <f>'[6]Payment - 10% down'!O21/('[6]Final income'!O21/12)</f>
        <v>0.25682684281602319</v>
      </c>
      <c r="P20" s="177">
        <f>'[6]Payment - 10% down'!P21/('[6]Final income'!P21/12)</f>
        <v>0.26864925048084504</v>
      </c>
      <c r="Q20" s="177">
        <f>'[6]Payment - 10% down'!Q21/('[6]Final income'!Q21/12)</f>
        <v>0.28791531276117666</v>
      </c>
      <c r="R20" s="177">
        <f>'[6]Payment - 10% down'!R21/('[6]Final income'!R21/12)</f>
        <v>0.31293944591638356</v>
      </c>
      <c r="S20" s="177">
        <f>'[6]Payment - 10% down'!S21/('[6]Final income'!S21/12)</f>
        <v>0.29624254207997791</v>
      </c>
      <c r="T20" s="177">
        <f>'[6]Payment - 10% down'!T21/('[6]Final income'!T21/12)</f>
        <v>0.2628149490263964</v>
      </c>
      <c r="U20" s="177">
        <f>'[6]Payment - 10% down'!U21/('[6]Final income'!U21/12)</f>
        <v>0.23116516974294885</v>
      </c>
      <c r="V20" s="177">
        <f>'[6]Payment - 10% down'!V21/('[6]Final income'!V21/12)</f>
        <v>0.23441802723040561</v>
      </c>
      <c r="W20" s="177">
        <f>'[6]Payment - 10% down'!W21/('[6]Final income'!W21/12)</f>
        <v>0.21815026862662751</v>
      </c>
    </row>
    <row r="21" spans="1:23">
      <c r="A21" s="65" t="s">
        <v>122</v>
      </c>
      <c r="B21" s="177">
        <f>'[6]Payment - 10% down'!B22/('[6]Final income'!B22/12)</f>
        <v>0.26998565880029174</v>
      </c>
      <c r="C21" s="177">
        <f>'[6]Payment - 10% down'!C22/('[6]Final income'!C22/12)</f>
        <v>0.26948521805078668</v>
      </c>
      <c r="D21" s="177">
        <f>'[6]Payment - 10% down'!D22/('[6]Final income'!D22/12)</f>
        <v>0.24274372551292547</v>
      </c>
      <c r="E21" s="177">
        <f>'[6]Payment - 10% down'!E22/('[6]Final income'!E22/12)</f>
        <v>0.21817308856104173</v>
      </c>
      <c r="F21" s="177">
        <f>'[6]Payment - 10% down'!F22/('[6]Final income'!F22/12)</f>
        <v>0.2288425524549976</v>
      </c>
      <c r="G21" s="177">
        <f>'[6]Payment - 10% down'!G22/('[6]Final income'!G22/12)</f>
        <v>0.20828974007374887</v>
      </c>
      <c r="H21" s="177">
        <f>'[6]Payment - 10% down'!H22/('[6]Final income'!H22/12)</f>
        <v>0.19921968242965354</v>
      </c>
      <c r="I21" s="177">
        <f>'[6]Payment - 10% down'!I22/('[6]Final income'!I22/12)</f>
        <v>0.20518802143980083</v>
      </c>
      <c r="J21" s="177">
        <f>'[6]Payment - 10% down'!J22/('[6]Final income'!J22/12)</f>
        <v>0.20781892103069005</v>
      </c>
      <c r="K21" s="177">
        <f>'[6]Payment - 10% down'!K22/('[6]Final income'!K22/12)</f>
        <v>0.21806347889133712</v>
      </c>
      <c r="L21" s="177">
        <f>'[6]Payment - 10% down'!L22/('[6]Final income'!L22/12)</f>
        <v>0.23773875091709623</v>
      </c>
      <c r="M21" s="177">
        <f>'[6]Payment - 10% down'!M22/('[6]Final income'!M22/12)</f>
        <v>0.22076469396046558</v>
      </c>
      <c r="N21" s="177">
        <f>'[6]Payment - 10% down'!N22/('[6]Final income'!N22/12)</f>
        <v>0.21788610965947078</v>
      </c>
      <c r="O21" s="177">
        <f>'[6]Payment - 10% down'!O22/('[6]Final income'!O22/12)</f>
        <v>0.21589640209858077</v>
      </c>
      <c r="P21" s="177">
        <f>'[6]Payment - 10% down'!P22/('[6]Final income'!P22/12)</f>
        <v>0.22252291305668542</v>
      </c>
      <c r="Q21" s="177">
        <f>'[6]Payment - 10% down'!Q22/('[6]Final income'!Q22/12)</f>
        <v>0.2366589236752234</v>
      </c>
      <c r="R21" s="177">
        <f>'[6]Payment - 10% down'!R22/('[6]Final income'!R22/12)</f>
        <v>0.25576141862737217</v>
      </c>
      <c r="S21" s="177">
        <f>'[6]Payment - 10% down'!S22/('[6]Final income'!S22/12)</f>
        <v>0.26006845407064233</v>
      </c>
      <c r="T21" s="177">
        <f>'[6]Payment - 10% down'!T22/('[6]Final income'!T22/12)</f>
        <v>0.2335252996445992</v>
      </c>
      <c r="U21" s="177">
        <f>'[6]Payment - 10% down'!U22/('[6]Final income'!U22/12)</f>
        <v>0.21313970406594501</v>
      </c>
      <c r="V21" s="177">
        <f>'[6]Payment - 10% down'!V22/('[6]Final income'!V22/12)</f>
        <v>0.20907023236159461</v>
      </c>
      <c r="W21" s="177">
        <f>'[6]Payment - 10% down'!W22/('[6]Final income'!W22/12)</f>
        <v>0.21241561623470226</v>
      </c>
    </row>
    <row r="22" spans="1:23">
      <c r="A22" s="65" t="s">
        <v>123</v>
      </c>
      <c r="B22" s="177">
        <f>'[6]Payment - 10% down'!B23/('[6]Final income'!B23/12)</f>
        <v>0.25256037651127189</v>
      </c>
      <c r="C22" s="177">
        <f>'[6]Payment - 10% down'!C23/('[6]Final income'!C23/12)</f>
        <v>0.23240704833786893</v>
      </c>
      <c r="D22" s="177">
        <f>'[6]Payment - 10% down'!D23/('[6]Final income'!D23/12)</f>
        <v>0.22045072392388024</v>
      </c>
      <c r="E22" s="177">
        <f>'[6]Payment - 10% down'!E23/('[6]Final income'!E23/12)</f>
        <v>0.19175952241249344</v>
      </c>
      <c r="F22" s="177">
        <f>'[6]Payment - 10% down'!F23/('[6]Final income'!F23/12)</f>
        <v>0.20499954338603438</v>
      </c>
      <c r="G22" s="177">
        <f>'[6]Payment - 10% down'!G23/('[6]Final income'!G23/12)</f>
        <v>0.20383183814244712</v>
      </c>
      <c r="H22" s="177">
        <f>'[6]Payment - 10% down'!H23/('[6]Final income'!H23/12)</f>
        <v>0.21381162954447305</v>
      </c>
      <c r="I22" s="177">
        <f>'[6]Payment - 10% down'!I23/('[6]Final income'!I23/12)</f>
        <v>0.21193936417546066</v>
      </c>
      <c r="J22" s="177">
        <f>'[6]Payment - 10% down'!J23/('[6]Final income'!J23/12)</f>
        <v>0.19361029314280118</v>
      </c>
      <c r="K22" s="177">
        <f>'[6]Payment - 10% down'!K23/('[6]Final income'!K23/12)</f>
        <v>0.19809754586753717</v>
      </c>
      <c r="L22" s="177">
        <f>'[6]Payment - 10% down'!L23/('[6]Final income'!L23/12)</f>
        <v>0.2142542150838023</v>
      </c>
      <c r="M22" s="177">
        <f>'[6]Payment - 10% down'!M23/('[6]Final income'!M23/12)</f>
        <v>0.20277523964706806</v>
      </c>
      <c r="N22" s="177">
        <f>'[6]Payment - 10% down'!N23/('[6]Final income'!N23/12)</f>
        <v>0.20245561676591167</v>
      </c>
      <c r="O22" s="177">
        <f>'[6]Payment - 10% down'!O23/('[6]Final income'!O23/12)</f>
        <v>0.18947060952859318</v>
      </c>
      <c r="P22" s="177">
        <f>'[6]Payment - 10% down'!P23/('[6]Final income'!P23/12)</f>
        <v>0.20134110609311637</v>
      </c>
      <c r="Q22" s="177">
        <f>'[6]Payment - 10% down'!Q23/('[6]Final income'!Q23/12)</f>
        <v>0.20869313579222909</v>
      </c>
      <c r="R22" s="177">
        <f>'[6]Payment - 10% down'!R23/('[6]Final income'!R23/12)</f>
        <v>0.22323110617581304</v>
      </c>
      <c r="S22" s="177">
        <f>'[6]Payment - 10% down'!S23/('[6]Final income'!S23/12)</f>
        <v>0.20152732275120183</v>
      </c>
      <c r="T22" s="177">
        <f>'[6]Payment - 10% down'!T23/('[6]Final income'!T23/12)</f>
        <v>0.18618010274018701</v>
      </c>
      <c r="U22" s="177">
        <f>'[6]Payment - 10% down'!U23/('[6]Final income'!U23/12)</f>
        <v>0.16732218093637796</v>
      </c>
      <c r="V22" s="177">
        <f>'[6]Payment - 10% down'!V23/('[6]Final income'!V23/12)</f>
        <v>0.16059900967380625</v>
      </c>
      <c r="W22" s="177">
        <f>'[6]Payment - 10% down'!W23/('[6]Final income'!W23/12)</f>
        <v>0.15229237550214506</v>
      </c>
    </row>
    <row r="23" spans="1:23">
      <c r="A23" s="65" t="s">
        <v>124</v>
      </c>
      <c r="B23" s="177">
        <f>'[6]Payment - 10% down'!B24/('[6]Final income'!B24/12)</f>
        <v>0.28220421589339473</v>
      </c>
      <c r="C23" s="177">
        <f>'[6]Payment - 10% down'!C24/('[6]Final income'!C24/12)</f>
        <v>0.29641504017665093</v>
      </c>
      <c r="D23" s="177">
        <f>'[6]Payment - 10% down'!D24/('[6]Final income'!D24/12)</f>
        <v>0.28928256464940272</v>
      </c>
      <c r="E23" s="177">
        <f>'[6]Payment - 10% down'!E24/('[6]Final income'!E24/12)</f>
        <v>0.26038289219807614</v>
      </c>
      <c r="F23" s="177">
        <f>'[6]Payment - 10% down'!F24/('[6]Final income'!F24/12)</f>
        <v>0.27649077987193577</v>
      </c>
      <c r="G23" s="177">
        <f>'[6]Payment - 10% down'!G24/('[6]Final income'!G24/12)</f>
        <v>0.24929897034840071</v>
      </c>
      <c r="H23" s="177">
        <f>'[6]Payment - 10% down'!H24/('[6]Final income'!H24/12)</f>
        <v>0.24633749591648335</v>
      </c>
      <c r="I23" s="177">
        <f>'[6]Payment - 10% down'!I24/('[6]Final income'!I24/12)</f>
        <v>0.23994699866901256</v>
      </c>
      <c r="J23" s="177">
        <f>'[6]Payment - 10% down'!J24/('[6]Final income'!J24/12)</f>
        <v>0.22582396993922024</v>
      </c>
      <c r="K23" s="177">
        <f>'[6]Payment - 10% down'!K24/('[6]Final income'!K24/12)</f>
        <v>0.23378391309658528</v>
      </c>
      <c r="L23" s="177">
        <f>'[6]Payment - 10% down'!L24/('[6]Final income'!L24/12)</f>
        <v>0.25743167397574984</v>
      </c>
      <c r="M23" s="177">
        <f>'[6]Payment - 10% down'!M24/('[6]Final income'!M24/12)</f>
        <v>0.25756468271324262</v>
      </c>
      <c r="N23" s="177">
        <f>'[6]Payment - 10% down'!N24/('[6]Final income'!N24/12)</f>
        <v>0.27399803193620292</v>
      </c>
      <c r="O23" s="177">
        <f>'[6]Payment - 10% down'!O24/('[6]Final income'!O24/12)</f>
        <v>0.26411297689970775</v>
      </c>
      <c r="P23" s="177">
        <f>'[6]Payment - 10% down'!P24/('[6]Final income'!P24/12)</f>
        <v>0.28571771553575376</v>
      </c>
      <c r="Q23" s="177">
        <f>'[6]Payment - 10% down'!Q24/('[6]Final income'!Q24/12)</f>
        <v>0.30454746131177396</v>
      </c>
      <c r="R23" s="177">
        <f>'[6]Payment - 10% down'!R24/('[6]Final income'!R24/12)</f>
        <v>0.32363113585974879</v>
      </c>
      <c r="S23" s="177">
        <f>'[6]Payment - 10% down'!S24/('[6]Final income'!S24/12)</f>
        <v>0.30948809467867622</v>
      </c>
      <c r="T23" s="177">
        <f>'[6]Payment - 10% down'!T24/('[6]Final income'!T24/12)</f>
        <v>0.2567758504760802</v>
      </c>
      <c r="U23" s="177">
        <f>'[6]Payment - 10% down'!U24/('[6]Final income'!U24/12)</f>
        <v>0.19534842343469461</v>
      </c>
      <c r="V23" s="177">
        <f>'[6]Payment - 10% down'!V24/('[6]Final income'!V24/12)</f>
        <v>0.18572494284916252</v>
      </c>
      <c r="W23" s="177">
        <f>'[6]Payment - 10% down'!W24/('[6]Final income'!W24/12)</f>
        <v>0.16131117658975022</v>
      </c>
    </row>
    <row r="24" spans="1:23">
      <c r="A24" s="65" t="s">
        <v>125</v>
      </c>
      <c r="B24" s="177">
        <f>'[6]Payment - 10% down'!B25/('[6]Final income'!B25/12)</f>
        <v>0.23910004787482808</v>
      </c>
      <c r="C24" s="177">
        <f>'[6]Payment - 10% down'!C25/('[6]Final income'!C25/12)</f>
        <v>0.23635473393735282</v>
      </c>
      <c r="D24" s="177">
        <f>'[6]Payment - 10% down'!D25/('[6]Final income'!D25/12)</f>
        <v>0.21676948612506511</v>
      </c>
      <c r="E24" s="177">
        <f>'[6]Payment - 10% down'!E25/('[6]Final income'!E25/12)</f>
        <v>0.19904901731885824</v>
      </c>
      <c r="F24" s="177">
        <f>'[6]Payment - 10% down'!F25/('[6]Final income'!F25/12)</f>
        <v>0.22517573465626772</v>
      </c>
      <c r="G24" s="177">
        <f>'[6]Payment - 10% down'!G25/('[6]Final income'!G25/12)</f>
        <v>0.20153998115310764</v>
      </c>
      <c r="H24" s="177">
        <f>'[6]Payment - 10% down'!H25/('[6]Final income'!H25/12)</f>
        <v>0.20787958584851035</v>
      </c>
      <c r="I24" s="177">
        <f>'[6]Payment - 10% down'!I25/('[6]Final income'!I25/12)</f>
        <v>0.20184915473891721</v>
      </c>
      <c r="J24" s="177">
        <f>'[6]Payment - 10% down'!J25/('[6]Final income'!J25/12)</f>
        <v>0.18377654995173989</v>
      </c>
      <c r="K24" s="177">
        <f>'[6]Payment - 10% down'!K25/('[6]Final income'!K25/12)</f>
        <v>0.20224376412925374</v>
      </c>
      <c r="L24" s="177">
        <f>'[6]Payment - 10% down'!L25/('[6]Final income'!L25/12)</f>
        <v>0.22751652368218525</v>
      </c>
      <c r="M24" s="177">
        <f>'[6]Payment - 10% down'!M25/('[6]Final income'!M25/12)</f>
        <v>0.20856378441600507</v>
      </c>
      <c r="N24" s="177">
        <f>'[6]Payment - 10% down'!N25/('[6]Final income'!N25/12)</f>
        <v>0.20362677025926409</v>
      </c>
      <c r="O24" s="177">
        <f>'[6]Payment - 10% down'!O25/('[6]Final income'!O25/12)</f>
        <v>0.19246935526504813</v>
      </c>
      <c r="P24" s="177">
        <f>'[6]Payment - 10% down'!P25/('[6]Final income'!P25/12)</f>
        <v>0.19272979086927414</v>
      </c>
      <c r="Q24" s="177">
        <f>'[6]Payment - 10% down'!Q25/('[6]Final income'!Q25/12)</f>
        <v>0.19040591356406833</v>
      </c>
      <c r="R24" s="177">
        <f>'[6]Payment - 10% down'!R25/('[6]Final income'!R25/12)</f>
        <v>0.19287812216109981</v>
      </c>
      <c r="S24" s="177">
        <f>'[6]Payment - 10% down'!S25/('[6]Final income'!S25/12)</f>
        <v>0.18062269365782044</v>
      </c>
      <c r="T24" s="177">
        <f>'[6]Payment - 10% down'!T25/('[6]Final income'!T25/12)</f>
        <v>0.15680083175950654</v>
      </c>
      <c r="U24" s="177">
        <f>'[6]Payment - 10% down'!U25/('[6]Final income'!U25/12)</f>
        <v>0.1394298065642641</v>
      </c>
      <c r="V24" s="177">
        <f>'[6]Payment - 10% down'!V25/('[6]Final income'!V25/12)</f>
        <v>0.13890846723946593</v>
      </c>
      <c r="W24" s="177">
        <f>'[6]Payment - 10% down'!W25/('[6]Final income'!W25/12)</f>
        <v>0.12516163873676897</v>
      </c>
    </row>
    <row r="25" spans="1:23">
      <c r="A25" s="65" t="s">
        <v>126</v>
      </c>
      <c r="B25" s="177">
        <f>'[6]Payment - 10% down'!B26/('[6]Final income'!B26/12)</f>
        <v>0.24229156042131864</v>
      </c>
      <c r="C25" s="177">
        <f>'[6]Payment - 10% down'!C26/('[6]Final income'!C26/12)</f>
        <v>0.24076120410494978</v>
      </c>
      <c r="D25" s="177">
        <f>'[6]Payment - 10% down'!D26/('[6]Final income'!D26/12)</f>
        <v>0.22196466711157856</v>
      </c>
      <c r="E25" s="177">
        <f>'[6]Payment - 10% down'!E26/('[6]Final income'!E26/12)</f>
        <v>0.20847707084233819</v>
      </c>
      <c r="F25" s="177">
        <f>'[6]Payment - 10% down'!F26/('[6]Final income'!F26/12)</f>
        <v>0.23478308899698044</v>
      </c>
      <c r="G25" s="177">
        <f>'[6]Payment - 10% down'!G26/('[6]Final income'!G26/12)</f>
        <v>0.21591390811708852</v>
      </c>
      <c r="H25" s="177">
        <f>'[6]Payment - 10% down'!H26/('[6]Final income'!H26/12)</f>
        <v>0.23481890666690389</v>
      </c>
      <c r="I25" s="177">
        <f>'[6]Payment - 10% down'!I26/('[6]Final income'!I26/12)</f>
        <v>0.22532080540351299</v>
      </c>
      <c r="J25" s="177">
        <f>'[6]Payment - 10% down'!J26/('[6]Final income'!J26/12)</f>
        <v>0.20376031246311924</v>
      </c>
      <c r="K25" s="177">
        <f>'[6]Payment - 10% down'!K26/('[6]Final income'!K26/12)</f>
        <v>0.21608328312206401</v>
      </c>
      <c r="L25" s="177">
        <f>'[6]Payment - 10% down'!L26/('[6]Final income'!L26/12)</f>
        <v>0.22740491789178433</v>
      </c>
      <c r="M25" s="177">
        <f>'[6]Payment - 10% down'!M26/('[6]Final income'!M26/12)</f>
        <v>0.23073419632418246</v>
      </c>
      <c r="N25" s="177" t="s">
        <v>25</v>
      </c>
      <c r="O25" s="177">
        <f>'[6]Payment - 10% down'!O26/('[6]Final income'!O26/12)</f>
        <v>0.20035026156010613</v>
      </c>
      <c r="P25" s="177">
        <f>'[6]Payment - 10% down'!P26/('[6]Final income'!P26/12)</f>
        <v>0.20056034683153443</v>
      </c>
      <c r="Q25" s="177">
        <f>'[6]Payment - 10% down'!Q26/('[6]Final income'!Q26/12)</f>
        <v>0.20040953610969325</v>
      </c>
      <c r="R25" s="177">
        <f>'[6]Payment - 10% down'!R26/('[6]Final income'!R26/12)</f>
        <v>0.19782644427987361</v>
      </c>
      <c r="S25" s="177">
        <f>'[6]Payment - 10% down'!S26/('[6]Final income'!S26/12)</f>
        <v>0.18113012236495046</v>
      </c>
      <c r="T25" s="177">
        <f>'[6]Payment - 10% down'!T26/('[6]Final income'!T26/12)</f>
        <v>0.13999479173735052</v>
      </c>
      <c r="U25" s="177">
        <f>'[6]Payment - 10% down'!U26/('[6]Final income'!U26/12)</f>
        <v>0.12659947629066867</v>
      </c>
      <c r="V25" s="177">
        <f>'[6]Payment - 10% down'!V26/('[6]Final income'!V26/12)</f>
        <v>0.1398880851947876</v>
      </c>
      <c r="W25" s="177">
        <f>'[6]Payment - 10% down'!W26/('[6]Final income'!W26/12)</f>
        <v>0.11903472275716079</v>
      </c>
    </row>
    <row r="26" spans="1:23">
      <c r="A26" s="65" t="s">
        <v>127</v>
      </c>
      <c r="B26" s="177" t="s">
        <v>25</v>
      </c>
      <c r="C26" s="177" t="s">
        <v>25</v>
      </c>
      <c r="D26" s="177">
        <f>'[6]Payment - 10% down'!D27/('[6]Final income'!D27/12)</f>
        <v>0.20753285118422518</v>
      </c>
      <c r="E26" s="177">
        <f>'[6]Payment - 10% down'!E27/('[6]Final income'!E27/12)</f>
        <v>0.19191234091160428</v>
      </c>
      <c r="F26" s="177">
        <f>'[6]Payment - 10% down'!F27/('[6]Final income'!F27/12)</f>
        <v>0.21842090469389411</v>
      </c>
      <c r="G26" s="177">
        <f>'[6]Payment - 10% down'!G27/('[6]Final income'!G27/12)</f>
        <v>0.21497393729463529</v>
      </c>
      <c r="H26" s="177">
        <f>'[6]Payment - 10% down'!H27/('[6]Final income'!H27/12)</f>
        <v>0.23427070454978066</v>
      </c>
      <c r="I26" s="177">
        <f>'[6]Payment - 10% down'!I27/('[6]Final income'!I27/12)</f>
        <v>0.23040028258630604</v>
      </c>
      <c r="J26" s="177">
        <f>'[6]Payment - 10% down'!J27/('[6]Final income'!J27/12)</f>
        <v>0.21507607329915393</v>
      </c>
      <c r="K26" s="177">
        <f>'[6]Payment - 10% down'!K27/('[6]Final income'!K27/12)</f>
        <v>0.23024251594566633</v>
      </c>
      <c r="L26" s="177">
        <f>'[6]Payment - 10% down'!L27/('[6]Final income'!L27/12)</f>
        <v>0.25826108092967326</v>
      </c>
      <c r="M26" s="177">
        <f>'[6]Payment - 10% down'!M27/('[6]Final income'!M27/12)</f>
        <v>0.25571375363033649</v>
      </c>
      <c r="N26" s="177">
        <f>'[6]Payment - 10% down'!N27/('[6]Final income'!N27/12)</f>
        <v>0.24862295235702508</v>
      </c>
      <c r="O26" s="177">
        <f>'[6]Payment - 10% down'!O27/('[6]Final income'!O27/12)</f>
        <v>0.22769479723167294</v>
      </c>
      <c r="P26" s="177">
        <f>'[6]Payment - 10% down'!P27/('[6]Final income'!P27/12)</f>
        <v>0.24737576127827202</v>
      </c>
      <c r="Q26" s="177">
        <f>'[6]Payment - 10% down'!Q27/('[6]Final income'!Q27/12)</f>
        <v>0.2580839798831534</v>
      </c>
      <c r="R26" s="177">
        <f>'[6]Payment - 10% down'!R27/('[6]Final income'!R27/12)</f>
        <v>0.2813261091808395</v>
      </c>
      <c r="S26" s="177">
        <f>'[6]Payment - 10% down'!S27/('[6]Final income'!S27/12)</f>
        <v>0.26197191207784459</v>
      </c>
      <c r="T26" s="177">
        <f>'[6]Payment - 10% down'!T27/('[6]Final income'!T27/12)</f>
        <v>0.23052280971974304</v>
      </c>
      <c r="U26" s="177">
        <f>'[6]Payment - 10% down'!U27/('[6]Final income'!U27/12)</f>
        <v>0.19756933816127539</v>
      </c>
      <c r="V26" s="177">
        <f>'[6]Payment - 10% down'!V27/('[6]Final income'!V27/12)</f>
        <v>0.20607458311267018</v>
      </c>
      <c r="W26" s="177">
        <f>'[6]Payment - 10% down'!W27/('[6]Final income'!W27/12)</f>
        <v>0.18738629657782041</v>
      </c>
    </row>
    <row r="27" spans="1:23">
      <c r="A27" s="65" t="s">
        <v>128</v>
      </c>
      <c r="B27" s="177">
        <f>'[6]Payment - 10% down'!B28/('[6]Final income'!B28/12)</f>
        <v>0.21741241144194204</v>
      </c>
      <c r="C27" s="177">
        <f>'[6]Payment - 10% down'!C28/('[6]Final income'!C28/12)</f>
        <v>0.22152745074738223</v>
      </c>
      <c r="D27" s="177">
        <f>'[6]Payment - 10% down'!D28/('[6]Final income'!D28/12)</f>
        <v>0.21542600135409498</v>
      </c>
      <c r="E27" s="177">
        <f>'[6]Payment - 10% down'!E28/('[6]Final income'!E28/12)</f>
        <v>0.20702122529719358</v>
      </c>
      <c r="F27" s="177">
        <f>'[6]Payment - 10% down'!F28/('[6]Final income'!F28/12)</f>
        <v>0.2045902467549682</v>
      </c>
      <c r="G27" s="177">
        <f>'[6]Payment - 10% down'!G28/('[6]Final income'!G28/12)</f>
        <v>0.21240872056554344</v>
      </c>
      <c r="H27" s="177">
        <f>'[6]Payment - 10% down'!H28/('[6]Final income'!H28/12)</f>
        <v>0.18074335321600238</v>
      </c>
      <c r="I27" s="177">
        <f>'[6]Payment - 10% down'!I28/('[6]Final income'!I28/12)</f>
        <v>0.19087342354355794</v>
      </c>
      <c r="J27" s="177">
        <f>'[6]Payment - 10% down'!J28/('[6]Final income'!J28/12)</f>
        <v>0.19482052830763277</v>
      </c>
      <c r="K27" s="177">
        <f>'[6]Payment - 10% down'!K28/('[6]Final income'!K28/12)</f>
        <v>0.19920308240415999</v>
      </c>
      <c r="L27" s="177">
        <f>'[6]Payment - 10% down'!L28/('[6]Final income'!L28/12)</f>
        <v>0.21708787762353191</v>
      </c>
      <c r="M27" s="177">
        <f>'[6]Payment - 10% down'!M28/('[6]Final income'!M28/12)</f>
        <v>0.19868805009363386</v>
      </c>
      <c r="N27" s="177">
        <f>'[6]Payment - 10% down'!N28/('[6]Final income'!N28/12)</f>
        <v>0.19471960864354781</v>
      </c>
      <c r="O27" s="177">
        <f>'[6]Payment - 10% down'!O28/('[6]Final income'!O28/12)</f>
        <v>0.18343283868502938</v>
      </c>
      <c r="P27" s="177">
        <f>'[6]Payment - 10% down'!P28/('[6]Final income'!P28/12)</f>
        <v>0.18190355988170287</v>
      </c>
      <c r="Q27" s="177">
        <f>'[6]Payment - 10% down'!Q28/('[6]Final income'!Q28/12)</f>
        <v>0.20017181895652567</v>
      </c>
      <c r="R27" s="177">
        <f>'[6]Payment - 10% down'!R28/('[6]Final income'!R28/12)</f>
        <v>0.21030098217774856</v>
      </c>
      <c r="S27" s="177">
        <f>'[6]Payment - 10% down'!S28/('[6]Final income'!S28/12)</f>
        <v>0.2056855697310998</v>
      </c>
      <c r="T27" s="177">
        <f>'[6]Payment - 10% down'!T28/('[6]Final income'!T28/12)</f>
        <v>0.19080812378203749</v>
      </c>
      <c r="U27" s="177">
        <f>'[6]Payment - 10% down'!U28/('[6]Final income'!U28/12)</f>
        <v>0.17335672818638334</v>
      </c>
      <c r="V27" s="177">
        <f>'[6]Payment - 10% down'!V28/('[6]Final income'!V28/12)</f>
        <v>0.17325483590374932</v>
      </c>
      <c r="W27" s="177">
        <f>'[6]Payment - 10% down'!W28/('[6]Final income'!W28/12)</f>
        <v>0.16408192746208058</v>
      </c>
    </row>
    <row r="28" spans="1:23">
      <c r="A28" s="65" t="s">
        <v>129</v>
      </c>
      <c r="B28" s="177">
        <f>'[6]Payment - 10% down'!B29/('[6]Final income'!B29/12)</f>
        <v>0.243475263953322</v>
      </c>
      <c r="C28" s="177">
        <f>'[6]Payment - 10% down'!C29/('[6]Final income'!C29/12)</f>
        <v>0.23484746746869442</v>
      </c>
      <c r="D28" s="177">
        <f>'[6]Payment - 10% down'!D29/('[6]Final income'!D29/12)</f>
        <v>0.21902740393061051</v>
      </c>
      <c r="E28" s="177">
        <f>'[6]Payment - 10% down'!E29/('[6]Final income'!E29/12)</f>
        <v>0.19762341068954567</v>
      </c>
      <c r="F28" s="177">
        <f>'[6]Payment - 10% down'!F29/('[6]Final income'!F29/12)</f>
        <v>0.22063635609831397</v>
      </c>
      <c r="G28" s="177">
        <f>'[6]Payment - 10% down'!G29/('[6]Final income'!G29/12)</f>
        <v>0.19952786139527334</v>
      </c>
      <c r="H28" s="177">
        <f>'[6]Payment - 10% down'!H29/('[6]Final income'!H29/12)</f>
        <v>0.21957294558149601</v>
      </c>
      <c r="I28" s="177">
        <f>'[6]Payment - 10% down'!I29/('[6]Final income'!I29/12)</f>
        <v>0.21886521470499323</v>
      </c>
      <c r="J28" s="177">
        <f>'[6]Payment - 10% down'!J29/('[6]Final income'!J29/12)</f>
        <v>0.19528608921485732</v>
      </c>
      <c r="K28" s="177">
        <f>'[6]Payment - 10% down'!K29/('[6]Final income'!K29/12)</f>
        <v>0.20831457064017531</v>
      </c>
      <c r="L28" s="177">
        <f>'[6]Payment - 10% down'!L29/('[6]Final income'!L29/12)</f>
        <v>0.22750182327604526</v>
      </c>
      <c r="M28" s="177">
        <f>'[6]Payment - 10% down'!M29/('[6]Final income'!M29/12)</f>
        <v>0.21262480783156476</v>
      </c>
      <c r="N28" s="177">
        <f>'[6]Payment - 10% down'!N29/('[6]Final income'!N29/12)</f>
        <v>0.21035057290552231</v>
      </c>
      <c r="O28" s="177">
        <f>'[6]Payment - 10% down'!O29/('[6]Final income'!O29/12)</f>
        <v>0.19698720858630964</v>
      </c>
      <c r="P28" s="177">
        <f>'[6]Payment - 10% down'!P29/('[6]Final income'!P29/12)</f>
        <v>0.19473935656335226</v>
      </c>
      <c r="Q28" s="177">
        <f>'[6]Payment - 10% down'!Q29/('[6]Final income'!Q29/12)</f>
        <v>0.19574839838135472</v>
      </c>
      <c r="R28" s="177">
        <f>'[6]Payment - 10% down'!R29/('[6]Final income'!R29/12)</f>
        <v>0.19870586115695435</v>
      </c>
      <c r="S28" s="177">
        <f>'[6]Payment - 10% down'!S29/('[6]Final income'!S29/12)</f>
        <v>0.18806823108874585</v>
      </c>
      <c r="T28" s="177">
        <f>'[6]Payment - 10% down'!T29/('[6]Final income'!T29/12)</f>
        <v>0.16483973060784174</v>
      </c>
      <c r="U28" s="177">
        <f>'[6]Payment - 10% down'!U29/('[6]Final income'!U29/12)</f>
        <v>0.15050607781266606</v>
      </c>
      <c r="V28" s="177">
        <f>'[6]Payment - 10% down'!V29/('[6]Final income'!V29/12)</f>
        <v>0.14568198935002</v>
      </c>
      <c r="W28" s="177">
        <f>'[6]Payment - 10% down'!W29/('[6]Final income'!W29/12)</f>
        <v>0.1266298053091427</v>
      </c>
    </row>
    <row r="29" spans="1:23">
      <c r="A29" s="65" t="s">
        <v>130</v>
      </c>
      <c r="B29" s="177">
        <f>'[6]Payment - 10% down'!B30/('[6]Final income'!B30/12)</f>
        <v>0.24244786366735138</v>
      </c>
      <c r="C29" s="177">
        <f>'[6]Payment - 10% down'!C30/('[6]Final income'!C30/12)</f>
        <v>0.22565840356451902</v>
      </c>
      <c r="D29" s="177">
        <f>'[6]Payment - 10% down'!D30/('[6]Final income'!D30/12)</f>
        <v>0.21467502817539005</v>
      </c>
      <c r="E29" s="177">
        <f>'[6]Payment - 10% down'!E30/('[6]Final income'!E30/12)</f>
        <v>0.19434187880868714</v>
      </c>
      <c r="F29" s="177">
        <f>'[6]Payment - 10% down'!F30/('[6]Final income'!F30/12)</f>
        <v>0.20235275850433851</v>
      </c>
      <c r="G29" s="177">
        <f>'[6]Payment - 10% down'!G30/('[6]Final income'!G30/12)</f>
        <v>0.1877837628360266</v>
      </c>
      <c r="H29" s="177">
        <f>'[6]Payment - 10% down'!H30/('[6]Final income'!H30/12)</f>
        <v>0.19370578453653409</v>
      </c>
      <c r="I29" s="177">
        <f>'[6]Payment - 10% down'!I30/('[6]Final income'!I30/12)</f>
        <v>0.19243850266220883</v>
      </c>
      <c r="J29" s="177">
        <f>'[6]Payment - 10% down'!J30/('[6]Final income'!J30/12)</f>
        <v>0.17510838311295329</v>
      </c>
      <c r="K29" s="177">
        <f>'[6]Payment - 10% down'!K30/('[6]Final income'!K30/12)</f>
        <v>0.1801396493989755</v>
      </c>
      <c r="L29" s="177">
        <f>'[6]Payment - 10% down'!L30/('[6]Final income'!L30/12)</f>
        <v>0.19918747964513006</v>
      </c>
      <c r="M29" s="177">
        <f>'[6]Payment - 10% down'!M30/('[6]Final income'!M30/12)</f>
        <v>0.18821061216167898</v>
      </c>
      <c r="N29" s="177">
        <f>'[6]Payment - 10% down'!N30/('[6]Final income'!N30/12)</f>
        <v>0.18476612944547097</v>
      </c>
      <c r="O29" s="177">
        <f>'[6]Payment - 10% down'!O30/('[6]Final income'!O30/12)</f>
        <v>0.17970261065404119</v>
      </c>
      <c r="P29" s="177">
        <f>'[6]Payment - 10% down'!P30/('[6]Final income'!P30/12)</f>
        <v>0.17493103665045526</v>
      </c>
      <c r="Q29" s="177">
        <f>'[6]Payment - 10% down'!Q30/('[6]Final income'!Q30/12)</f>
        <v>0.18628984093841125</v>
      </c>
      <c r="R29" s="177">
        <f>'[6]Payment - 10% down'!R30/('[6]Final income'!R30/12)</f>
        <v>0.18929217657112524</v>
      </c>
      <c r="S29" s="177">
        <f>'[6]Payment - 10% down'!S30/('[6]Final income'!S30/12)</f>
        <v>0.18076761560863316</v>
      </c>
      <c r="T29" s="177">
        <f>'[6]Payment - 10% down'!T30/('[6]Final income'!T30/12)</f>
        <v>0.16178855003708845</v>
      </c>
      <c r="U29" s="177">
        <f>'[6]Payment - 10% down'!U30/('[6]Final income'!U30/12)</f>
        <v>0.1461446088088367</v>
      </c>
      <c r="V29" s="177">
        <f>'[6]Payment - 10% down'!V30/('[6]Final income'!V30/12)</f>
        <v>0.14346802817841592</v>
      </c>
      <c r="W29" s="177">
        <f>'[6]Payment - 10% down'!W30/('[6]Final income'!W30/12)</f>
        <v>0.13898490212343542</v>
      </c>
    </row>
    <row r="30" spans="1:23">
      <c r="A30" s="65" t="s">
        <v>131</v>
      </c>
      <c r="B30" s="177">
        <f>'[6]Payment - 10% down'!B31/('[6]Final income'!B31/12)</f>
        <v>0.21340844524429209</v>
      </c>
      <c r="C30" s="177">
        <f>'[6]Payment - 10% down'!C31/('[6]Final income'!C31/12)</f>
        <v>0.21334291316529674</v>
      </c>
      <c r="D30" s="177">
        <f>'[6]Payment - 10% down'!D31/('[6]Final income'!D31/12)</f>
        <v>0.19970980041097564</v>
      </c>
      <c r="E30" s="177">
        <f>'[6]Payment - 10% down'!E31/('[6]Final income'!E31/12)</f>
        <v>0.18304801505477009</v>
      </c>
      <c r="F30" s="177">
        <f>'[6]Payment - 10% down'!F31/('[6]Final income'!F31/12)</f>
        <v>0.20465062893634167</v>
      </c>
      <c r="G30" s="177">
        <f>'[6]Payment - 10% down'!G31/('[6]Final income'!G31/12)</f>
        <v>0.18770278316122563</v>
      </c>
      <c r="H30" s="177">
        <f>'[6]Payment - 10% down'!H31/('[6]Final income'!H31/12)</f>
        <v>0.20447124068260294</v>
      </c>
      <c r="I30" s="177">
        <f>'[6]Payment - 10% down'!I31/('[6]Final income'!I31/12)</f>
        <v>0.19127955347381023</v>
      </c>
      <c r="J30" s="177">
        <f>'[6]Payment - 10% down'!J31/('[6]Final income'!J31/12)</f>
        <v>0.1757356169719978</v>
      </c>
      <c r="K30" s="177">
        <f>'[6]Payment - 10% down'!K31/('[6]Final income'!K31/12)</f>
        <v>0.18526957660494822</v>
      </c>
      <c r="L30" s="177">
        <f>'[6]Payment - 10% down'!L31/('[6]Final income'!L31/12)</f>
        <v>0.19622728033268635</v>
      </c>
      <c r="M30" s="177">
        <f>'[6]Payment - 10% down'!M31/('[6]Final income'!M31/12)</f>
        <v>0.18394297636614595</v>
      </c>
      <c r="N30" s="177">
        <f>'[6]Payment - 10% down'!N31/('[6]Final income'!N31/12)</f>
        <v>0.18373116151154575</v>
      </c>
      <c r="O30" s="177">
        <f>'[6]Payment - 10% down'!O31/('[6]Final income'!O31/12)</f>
        <v>0.1709249712629749</v>
      </c>
      <c r="P30" s="177">
        <f>'[6]Payment - 10% down'!P31/('[6]Final income'!P31/12)</f>
        <v>0.16919022001837983</v>
      </c>
      <c r="Q30" s="177">
        <f>'[6]Payment - 10% down'!Q31/('[6]Final income'!Q31/12)</f>
        <v>0.16785181698380333</v>
      </c>
      <c r="R30" s="177">
        <f>'[6]Payment - 10% down'!R31/('[6]Final income'!R31/12)</f>
        <v>0.17672593494185759</v>
      </c>
      <c r="S30" s="177">
        <f>'[6]Payment - 10% down'!S31/('[6]Final income'!S31/12)</f>
        <v>0.16376222518473935</v>
      </c>
      <c r="T30" s="177">
        <f>'[6]Payment - 10% down'!T31/('[6]Final income'!T31/12)</f>
        <v>0.14156428305324956</v>
      </c>
      <c r="U30" s="177">
        <f>'[6]Payment - 10% down'!U31/('[6]Final income'!U31/12)</f>
        <v>0.12993253864605789</v>
      </c>
      <c r="V30" s="177">
        <f>'[6]Payment - 10% down'!V31/('[6]Final income'!V31/12)</f>
        <v>0.12852294387941485</v>
      </c>
      <c r="W30" s="177">
        <f>'[6]Payment - 10% down'!W31/('[6]Final income'!W31/12)</f>
        <v>0.10945355456014018</v>
      </c>
    </row>
    <row r="31" spans="1:23">
      <c r="A31" s="65" t="s">
        <v>132</v>
      </c>
      <c r="B31" s="177">
        <f>'[6]Payment - 10% down'!B32/('[6]Final income'!B32/12)</f>
        <v>0.22455747089570866</v>
      </c>
      <c r="C31" s="177">
        <f>'[6]Payment - 10% down'!C32/('[6]Final income'!C32/12)</f>
        <v>0.21225515367339742</v>
      </c>
      <c r="D31" s="177">
        <f>'[6]Payment - 10% down'!D32/('[6]Final income'!D32/12)</f>
        <v>0.20967544699945295</v>
      </c>
      <c r="E31" s="177">
        <f>'[6]Payment - 10% down'!E32/('[6]Final income'!E32/12)</f>
        <v>0.19523364762987788</v>
      </c>
      <c r="F31" s="177">
        <f>'[6]Payment - 10% down'!F32/('[6]Final income'!F32/12)</f>
        <v>0.22421640700121212</v>
      </c>
      <c r="G31" s="177">
        <f>'[6]Payment - 10% down'!G32/('[6]Final income'!G32/12)</f>
        <v>0.21900202459323351</v>
      </c>
      <c r="H31" s="177">
        <f>'[6]Payment - 10% down'!H32/('[6]Final income'!H32/12)</f>
        <v>0.22948021687125303</v>
      </c>
      <c r="I31" s="177">
        <f>'[6]Payment - 10% down'!I32/('[6]Final income'!I32/12)</f>
        <v>0.22756730594018088</v>
      </c>
      <c r="J31" s="177">
        <f>'[6]Payment - 10% down'!J32/('[6]Final income'!J32/12)</f>
        <v>0.21536140332288015</v>
      </c>
      <c r="K31" s="177">
        <f>'[6]Payment - 10% down'!K32/('[6]Final income'!K32/12)</f>
        <v>0.24756392250044551</v>
      </c>
      <c r="L31" s="177">
        <f>'[6]Payment - 10% down'!L32/('[6]Final income'!L32/12)</f>
        <v>0.29930193122137283</v>
      </c>
      <c r="M31" s="177">
        <f>'[6]Payment - 10% down'!M32/('[6]Final income'!M32/12)</f>
        <v>0.29554350906878918</v>
      </c>
      <c r="N31" s="177">
        <f>'[6]Payment - 10% down'!N32/('[6]Final income'!N32/12)</f>
        <v>0.29416023048944251</v>
      </c>
      <c r="O31" s="177">
        <f>'[6]Payment - 10% down'!O32/('[6]Final income'!O32/12)</f>
        <v>0.27068803918472523</v>
      </c>
      <c r="P31" s="177">
        <f>'[6]Payment - 10% down'!P32/('[6]Final income'!P32/12)</f>
        <v>0.28392035324426629</v>
      </c>
      <c r="Q31" s="177">
        <f>'[6]Payment - 10% down'!Q32/('[6]Final income'!Q32/12)</f>
        <v>0.28257879607961595</v>
      </c>
      <c r="R31" s="177">
        <f>'[6]Payment - 10% down'!R32/('[6]Final income'!R32/12)</f>
        <v>0.29834727928915528</v>
      </c>
      <c r="S31" s="177">
        <f>'[6]Payment - 10% down'!S32/('[6]Final income'!S32/12)</f>
        <v>0.2757414795664786</v>
      </c>
      <c r="T31" s="177">
        <f>'[6]Payment - 10% down'!T32/('[6]Final income'!T32/12)</f>
        <v>0.23286653156694195</v>
      </c>
      <c r="U31" s="177">
        <f>'[6]Payment - 10% down'!U32/('[6]Final income'!U32/12)</f>
        <v>0.21278394350712276</v>
      </c>
      <c r="V31" s="177">
        <f>'[6]Payment - 10% down'!V32/('[6]Final income'!V32/12)</f>
        <v>0.22255795716249524</v>
      </c>
      <c r="W31" s="177">
        <f>'[6]Payment - 10% down'!W32/('[6]Final income'!W32/12)</f>
        <v>0.20933889196301531</v>
      </c>
    </row>
    <row r="32" spans="1:23">
      <c r="A32" s="65" t="s">
        <v>133</v>
      </c>
      <c r="B32" s="177">
        <f>'[6]Payment - 10% down'!B33/('[6]Final income'!B33/12)</f>
        <v>0.18080470361354758</v>
      </c>
      <c r="C32" s="177">
        <f>'[6]Payment - 10% down'!C33/('[6]Final income'!C33/12)</f>
        <v>0.17882957275123121</v>
      </c>
      <c r="D32" s="177">
        <f>'[6]Payment - 10% down'!D33/('[6]Final income'!D33/12)</f>
        <v>0.1767288002179917</v>
      </c>
      <c r="E32" s="177">
        <f>'[6]Payment - 10% down'!E33/('[6]Final income'!E33/12)</f>
        <v>0.17141086789126364</v>
      </c>
      <c r="F32" s="177">
        <f>'[6]Payment - 10% down'!F33/('[6]Final income'!F33/12)</f>
        <v>0.17174816179596694</v>
      </c>
      <c r="G32" s="177">
        <f>'[6]Payment - 10% down'!G33/('[6]Final income'!G33/12)</f>
        <v>0.16347043468650785</v>
      </c>
      <c r="H32" s="177">
        <f>'[6]Payment - 10% down'!H33/('[6]Final income'!H33/12)</f>
        <v>0.18475222310499975</v>
      </c>
      <c r="I32" s="177">
        <f>'[6]Payment - 10% down'!I33/('[6]Final income'!I33/12)</f>
        <v>0.19114701918938581</v>
      </c>
      <c r="J32" s="177">
        <f>'[6]Payment - 10% down'!J33/('[6]Final income'!J33/12)</f>
        <v>0.17686745039172441</v>
      </c>
      <c r="K32" s="177">
        <f>'[6]Payment - 10% down'!K33/('[6]Final income'!K33/12)</f>
        <v>0.17798498383205535</v>
      </c>
      <c r="L32" s="177">
        <f>'[6]Payment - 10% down'!L33/('[6]Final income'!L33/12)</f>
        <v>0.2001739515489491</v>
      </c>
      <c r="M32" s="177">
        <f>'[6]Payment - 10% down'!M33/('[6]Final income'!M33/12)</f>
        <v>0.19314765429015354</v>
      </c>
      <c r="N32" s="177">
        <f>'[6]Payment - 10% down'!N33/('[6]Final income'!N33/12)</f>
        <v>0.19080059874447122</v>
      </c>
      <c r="O32" s="177">
        <f>'[6]Payment - 10% down'!O33/('[6]Final income'!O33/12)</f>
        <v>0.17451891486091695</v>
      </c>
      <c r="P32" s="177">
        <f>'[6]Payment - 10% down'!P33/('[6]Final income'!P33/12)</f>
        <v>0.18041816223519297</v>
      </c>
      <c r="Q32" s="177">
        <f>'[6]Payment - 10% down'!Q33/('[6]Final income'!Q33/12)</f>
        <v>0.17740681346566659</v>
      </c>
      <c r="R32" s="177">
        <f>'[6]Payment - 10% down'!R33/('[6]Final income'!R33/12)</f>
        <v>0.18409121308337584</v>
      </c>
      <c r="S32" s="177">
        <f>'[6]Payment - 10% down'!S33/('[6]Final income'!S33/12)</f>
        <v>0.17937641804804413</v>
      </c>
      <c r="T32" s="177">
        <f>'[6]Payment - 10% down'!T33/('[6]Final income'!T33/12)</f>
        <v>0.17123201846324357</v>
      </c>
      <c r="U32" s="177">
        <f>'[6]Payment - 10% down'!U33/('[6]Final income'!U33/12)</f>
        <v>0.15130504779262835</v>
      </c>
      <c r="V32" s="177">
        <f>'[6]Payment - 10% down'!V33/('[6]Final income'!V33/12)</f>
        <v>0.14815027770660907</v>
      </c>
      <c r="W32" s="177">
        <f>'[6]Payment - 10% down'!W33/('[6]Final income'!W33/12)</f>
        <v>0.13913394645205557</v>
      </c>
    </row>
    <row r="33" spans="1:23">
      <c r="A33" s="65" t="s">
        <v>134</v>
      </c>
      <c r="B33" s="177">
        <f>'[6]Payment - 10% down'!B34/('[6]Final income'!B34/12)</f>
        <v>0.21175425840221021</v>
      </c>
      <c r="C33" s="177">
        <f>'[6]Payment - 10% down'!C34/('[6]Final income'!C34/12)</f>
        <v>0.19446444577450578</v>
      </c>
      <c r="D33" s="177">
        <f>'[6]Payment - 10% down'!D34/('[6]Final income'!D34/12)</f>
        <v>0.18179125067568583</v>
      </c>
      <c r="E33" s="177">
        <f>'[6]Payment - 10% down'!E34/('[6]Final income'!E34/12)</f>
        <v>0.17324436026667528</v>
      </c>
      <c r="F33" s="177">
        <f>'[6]Payment - 10% down'!F34/('[6]Final income'!F34/12)</f>
        <v>0.1787294722138402</v>
      </c>
      <c r="G33" s="177">
        <f>'[6]Payment - 10% down'!G34/('[6]Final income'!G34/12)</f>
        <v>0.18718735616949855</v>
      </c>
      <c r="H33" s="177">
        <f>'[6]Payment - 10% down'!H34/('[6]Final income'!H34/12)</f>
        <v>0.19636788648162773</v>
      </c>
      <c r="I33" s="177">
        <f>'[6]Payment - 10% down'!I34/('[6]Final income'!I34/12)</f>
        <v>0.21065113800992666</v>
      </c>
      <c r="J33" s="177">
        <f>'[6]Payment - 10% down'!J34/('[6]Final income'!J34/12)</f>
        <v>0.2037719469833523</v>
      </c>
      <c r="K33" s="177">
        <f>'[6]Payment - 10% down'!K34/('[6]Final income'!K34/12)</f>
        <v>0.2106732088403992</v>
      </c>
      <c r="L33" s="177">
        <f>'[6]Payment - 10% down'!L34/('[6]Final income'!L34/12)</f>
        <v>0.24275425757694175</v>
      </c>
      <c r="M33" s="177">
        <f>'[6]Payment - 10% down'!M34/('[6]Final income'!M34/12)</f>
        <v>0.23365702859585658</v>
      </c>
      <c r="N33" s="177">
        <f>'[6]Payment - 10% down'!N34/('[6]Final income'!N34/12)</f>
        <v>0.22921568817537125</v>
      </c>
      <c r="O33" s="177">
        <f>'[6]Payment - 10% down'!O34/('[6]Final income'!O34/12)</f>
        <v>0.21228112638221805</v>
      </c>
      <c r="P33" s="177">
        <f>'[6]Payment - 10% down'!P34/('[6]Final income'!P34/12)</f>
        <v>0.20622244142628893</v>
      </c>
      <c r="Q33" s="177">
        <f>'[6]Payment - 10% down'!Q34/('[6]Final income'!Q34/12)</f>
        <v>0.2034665255505847</v>
      </c>
      <c r="R33" s="177">
        <f>'[6]Payment - 10% down'!R34/('[6]Final income'!R34/12)</f>
        <v>0.19650778213861655</v>
      </c>
      <c r="S33" s="177">
        <f>'[6]Payment - 10% down'!S34/('[6]Final income'!S34/12)</f>
        <v>0.17746043305717807</v>
      </c>
      <c r="T33" s="177" t="s">
        <v>25</v>
      </c>
      <c r="U33" s="177" t="s">
        <v>25</v>
      </c>
      <c r="V33" s="177" t="s">
        <v>25</v>
      </c>
      <c r="W33" s="177">
        <f>'[6]Payment - 10% down'!W34/('[6]Final income'!W34/12)</f>
        <v>5.7988356416301852E-2</v>
      </c>
    </row>
    <row r="34" spans="1:23">
      <c r="A34" s="65" t="s">
        <v>135</v>
      </c>
      <c r="B34" s="177">
        <f>'[6]Payment - 10% down'!B35/('[6]Final income'!B35/12)</f>
        <v>0.25158834229840749</v>
      </c>
      <c r="C34" s="177">
        <f>'[6]Payment - 10% down'!C35/('[6]Final income'!C35/12)</f>
        <v>0.24896562207646772</v>
      </c>
      <c r="D34" s="177">
        <f>'[6]Payment - 10% down'!D35/('[6]Final income'!D35/12)</f>
        <v>0.23611835366077083</v>
      </c>
      <c r="E34" s="177">
        <f>'[6]Payment - 10% down'!E35/('[6]Final income'!E35/12)</f>
        <v>0.22196742887239129</v>
      </c>
      <c r="F34" s="177">
        <f>'[6]Payment - 10% down'!F35/('[6]Final income'!F35/12)</f>
        <v>0.24292971464977647</v>
      </c>
      <c r="G34" s="177">
        <f>'[6]Payment - 10% down'!G35/('[6]Final income'!G35/12)</f>
        <v>0.21558757511800067</v>
      </c>
      <c r="H34" s="177">
        <f>'[6]Payment - 10% down'!H35/('[6]Final income'!H35/12)</f>
        <v>0.21860805518419305</v>
      </c>
      <c r="I34" s="177">
        <f>'[6]Payment - 10% down'!I35/('[6]Final income'!I35/12)</f>
        <v>0.20175832194919316</v>
      </c>
      <c r="J34" s="177">
        <f>'[6]Payment - 10% down'!J35/('[6]Final income'!J35/12)</f>
        <v>0.19057284571196642</v>
      </c>
      <c r="K34" s="177">
        <f>'[6]Payment - 10% down'!K35/('[6]Final income'!K35/12)</f>
        <v>0.18858045475223623</v>
      </c>
      <c r="L34" s="177">
        <f>'[6]Payment - 10% down'!L35/('[6]Final income'!L35/12)</f>
        <v>0.20299724996714491</v>
      </c>
      <c r="M34" s="177">
        <f>'[6]Payment - 10% down'!M35/('[6]Final income'!M35/12)</f>
        <v>0.19477426116439614</v>
      </c>
      <c r="N34" s="177">
        <f>'[6]Payment - 10% down'!N35/('[6]Final income'!N35/12)</f>
        <v>0.18931032869151215</v>
      </c>
      <c r="O34" s="177">
        <f>'[6]Payment - 10% down'!O35/('[6]Final income'!O35/12)</f>
        <v>0.18489725800546586</v>
      </c>
      <c r="P34" s="177">
        <f>'[6]Payment - 10% down'!P35/('[6]Final income'!P35/12)</f>
        <v>0.18151441766153117</v>
      </c>
      <c r="Q34" s="177">
        <f>'[6]Payment - 10% down'!Q35/('[6]Final income'!Q35/12)</f>
        <v>0.21474037275122584</v>
      </c>
      <c r="R34" s="177">
        <f>'[6]Payment - 10% down'!R35/('[6]Final income'!R35/12)</f>
        <v>0.25112650805032188</v>
      </c>
      <c r="S34" s="177">
        <f>'[6]Payment - 10% down'!S35/('[6]Final income'!S35/12)</f>
        <v>0.2495541544726437</v>
      </c>
      <c r="T34" s="177">
        <f>'[6]Payment - 10% down'!T35/('[6]Final income'!T35/12)</f>
        <v>0.24171508457901641</v>
      </c>
      <c r="U34" s="177">
        <f>'[6]Payment - 10% down'!U35/('[6]Final income'!U35/12)</f>
        <v>0.21625141332605394</v>
      </c>
      <c r="V34" s="177">
        <f>'[6]Payment - 10% down'!V35/('[6]Final income'!V35/12)</f>
        <v>0.20945832328921127</v>
      </c>
      <c r="W34" s="177">
        <f>'[6]Payment - 10% down'!W35/('[6]Final income'!W35/12)</f>
        <v>0.19710347376855267</v>
      </c>
    </row>
    <row r="35" spans="1:23">
      <c r="A35" s="65" t="s">
        <v>136</v>
      </c>
      <c r="B35" s="177">
        <f>'[6]Payment - 10% down'!B36/('[6]Final income'!B36/12)</f>
        <v>0.20793746974491897</v>
      </c>
      <c r="C35" s="177">
        <f>'[6]Payment - 10% down'!C36/('[6]Final income'!C36/12)</f>
        <v>0.18722756403500621</v>
      </c>
      <c r="D35" s="177">
        <f>'[6]Payment - 10% down'!D36/('[6]Final income'!D36/12)</f>
        <v>0.17899260772895406</v>
      </c>
      <c r="E35" s="177">
        <f>'[6]Payment - 10% down'!E36/('[6]Final income'!E36/12)</f>
        <v>0.16770616015762843</v>
      </c>
      <c r="F35" s="177">
        <f>'[6]Payment - 10% down'!F36/('[6]Final income'!F36/12)</f>
        <v>0.17432567001105612</v>
      </c>
      <c r="G35" s="177">
        <f>'[6]Payment - 10% down'!G36/('[6]Final income'!G36/12)</f>
        <v>0.17075968205160791</v>
      </c>
      <c r="H35" s="177">
        <f>'[6]Payment - 10% down'!H36/('[6]Final income'!H36/12)</f>
        <v>0.17011509395010962</v>
      </c>
      <c r="I35" s="177">
        <f>'[6]Payment - 10% down'!I36/('[6]Final income'!I36/12)</f>
        <v>0.18192440019540956</v>
      </c>
      <c r="J35" s="177">
        <f>'[6]Payment - 10% down'!J36/('[6]Final income'!J36/12)</f>
        <v>0.17042313299728504</v>
      </c>
      <c r="K35" s="177">
        <f>'[6]Payment - 10% down'!K36/('[6]Final income'!K36/12)</f>
        <v>0.17660238529539948</v>
      </c>
      <c r="L35" s="177">
        <f>'[6]Payment - 10% down'!L36/('[6]Final income'!L36/12)</f>
        <v>0.20209908771920521</v>
      </c>
      <c r="M35" s="177">
        <f>'[6]Payment - 10% down'!M36/('[6]Final income'!M36/12)</f>
        <v>0.19400323292807994</v>
      </c>
      <c r="N35" s="177">
        <f>'[6]Payment - 10% down'!N36/('[6]Final income'!N36/12)</f>
        <v>0.19278525462855847</v>
      </c>
      <c r="O35" s="177">
        <f>'[6]Payment - 10% down'!O36/('[6]Final income'!O36/12)</f>
        <v>0.18134311534498679</v>
      </c>
      <c r="P35" s="177">
        <f>'[6]Payment - 10% down'!P36/('[6]Final income'!P36/12)</f>
        <v>0.18351968791824291</v>
      </c>
      <c r="Q35" s="177">
        <f>'[6]Payment - 10% down'!Q36/('[6]Final income'!Q36/12)</f>
        <v>0.18867718225078611</v>
      </c>
      <c r="R35" s="177">
        <f>'[6]Payment - 10% down'!R36/('[6]Final income'!R36/12)</f>
        <v>0.19260284142576042</v>
      </c>
      <c r="S35" s="177">
        <f>'[6]Payment - 10% down'!S36/('[6]Final income'!S36/12)</f>
        <v>0.18111331577846176</v>
      </c>
      <c r="T35" s="177">
        <f>'[6]Payment - 10% down'!T36/('[6]Final income'!T36/12)</f>
        <v>0.13398883773871895</v>
      </c>
      <c r="U35" s="177">
        <f>'[6]Payment - 10% down'!U36/('[6]Final income'!U36/12)</f>
        <v>0.10830664266834883</v>
      </c>
      <c r="V35" s="177">
        <f>'[6]Payment - 10% down'!V36/('[6]Final income'!V36/12)</f>
        <v>0.10916163997339416</v>
      </c>
      <c r="W35" s="177">
        <f>'[6]Payment - 10% down'!W36/('[6]Final income'!W36/12)</f>
        <v>0.11014486760151287</v>
      </c>
    </row>
    <row r="36" spans="1:23">
      <c r="A36" s="65" t="s">
        <v>137</v>
      </c>
      <c r="B36" s="177">
        <f>'[6]Payment - 10% down'!B37/('[6]Final income'!B37/12)</f>
        <v>0.28624063752971363</v>
      </c>
      <c r="C36" s="177">
        <f>'[6]Payment - 10% down'!C37/('[6]Final income'!C37/12)</f>
        <v>0.25729224247406157</v>
      </c>
      <c r="D36" s="177">
        <f>'[6]Payment - 10% down'!D37/('[6]Final income'!D37/12)</f>
        <v>0.23790335977028546</v>
      </c>
      <c r="E36" s="177">
        <f>'[6]Payment - 10% down'!E37/('[6]Final income'!E37/12)</f>
        <v>0.22084327405258994</v>
      </c>
      <c r="F36" s="177">
        <f>'[6]Payment - 10% down'!F37/('[6]Final income'!F37/12)</f>
        <v>0.24055999481263585</v>
      </c>
      <c r="G36" s="177">
        <f>'[6]Payment - 10% down'!G37/('[6]Final income'!G37/12)</f>
        <v>0.22977829864649371</v>
      </c>
      <c r="H36" s="177">
        <f>'[6]Payment - 10% down'!H37/('[6]Final income'!H37/12)</f>
        <v>0.22514739432141542</v>
      </c>
      <c r="I36" s="177">
        <f>'[6]Payment - 10% down'!I37/('[6]Final income'!I37/12)</f>
        <v>0.22730676467914174</v>
      </c>
      <c r="J36" s="177">
        <f>'[6]Payment - 10% down'!J37/('[6]Final income'!J37/12)</f>
        <v>0.22384889162027841</v>
      </c>
      <c r="K36" s="177">
        <f>'[6]Payment - 10% down'!K37/('[6]Final income'!K37/12)</f>
        <v>0.23155987868473013</v>
      </c>
      <c r="L36" s="177">
        <f>'[6]Payment - 10% down'!L37/('[6]Final income'!L37/12)</f>
        <v>0.25437310188230172</v>
      </c>
      <c r="M36" s="177">
        <f>'[6]Payment - 10% down'!M37/('[6]Final income'!M37/12)</f>
        <v>0.24053443844735359</v>
      </c>
      <c r="N36" s="177">
        <f>'[6]Payment - 10% down'!N37/('[6]Final income'!N37/12)</f>
        <v>0.23951961846398973</v>
      </c>
      <c r="O36" s="177">
        <f>'[6]Payment - 10% down'!O37/('[6]Final income'!O37/12)</f>
        <v>0.22559185065180465</v>
      </c>
      <c r="P36" s="177">
        <f>'[6]Payment - 10% down'!P37/('[6]Final income'!P37/12)</f>
        <v>0.22458894988619052</v>
      </c>
      <c r="Q36" s="177">
        <f>'[6]Payment - 10% down'!Q37/('[6]Final income'!Q37/12)</f>
        <v>0.23090813902327495</v>
      </c>
      <c r="R36" s="177">
        <f>'[6]Payment - 10% down'!R37/('[6]Final income'!R37/12)</f>
        <v>0.23983578106743778</v>
      </c>
      <c r="S36" s="177">
        <f>'[6]Payment - 10% down'!S37/('[6]Final income'!S37/12)</f>
        <v>0.23414943969529756</v>
      </c>
      <c r="T36" s="177">
        <f>'[6]Payment - 10% down'!T37/('[6]Final income'!T37/12)</f>
        <v>0.20675927681855641</v>
      </c>
      <c r="U36" s="177">
        <f>'[6]Payment - 10% down'!U37/('[6]Final income'!U37/12)</f>
        <v>0.18398291804947445</v>
      </c>
      <c r="V36" s="177">
        <f>'[6]Payment - 10% down'!V37/('[6]Final income'!V37/12)</f>
        <v>0.17512912449792048</v>
      </c>
      <c r="W36" s="177">
        <f>'[6]Payment - 10% down'!W37/('[6]Final income'!W37/12)</f>
        <v>0.15800996752560229</v>
      </c>
    </row>
    <row r="37" spans="1:23">
      <c r="A37" s="65" t="s">
        <v>138</v>
      </c>
      <c r="B37" s="177">
        <f>'[6]Payment - 10% down'!B38/('[6]Final income'!B38/12)</f>
        <v>0.2209695642054392</v>
      </c>
      <c r="C37" s="177">
        <f>'[6]Payment - 10% down'!C38/('[6]Final income'!C38/12)</f>
        <v>0.22692367623903842</v>
      </c>
      <c r="D37" s="177">
        <f>'[6]Payment - 10% down'!D38/('[6]Final income'!D38/12)</f>
        <v>0.22516078690522631</v>
      </c>
      <c r="E37" s="177">
        <f>'[6]Payment - 10% down'!E38/('[6]Final income'!E38/12)</f>
        <v>0.22181557091269269</v>
      </c>
      <c r="F37" s="177">
        <f>'[6]Payment - 10% down'!F38/('[6]Final income'!F38/12)</f>
        <v>0.22693604811563048</v>
      </c>
      <c r="G37" s="177">
        <f>'[6]Payment - 10% down'!G38/('[6]Final income'!G38/12)</f>
        <v>0.23398713643118244</v>
      </c>
      <c r="H37" s="177">
        <f>'[6]Payment - 10% down'!H38/('[6]Final income'!H38/12)</f>
        <v>0.2306699153700211</v>
      </c>
      <c r="I37" s="177">
        <f>'[6]Payment - 10% down'!I38/('[6]Final income'!I38/12)</f>
        <v>0.24109890243894136</v>
      </c>
      <c r="J37" s="177">
        <f>'[6]Payment - 10% down'!J38/('[6]Final income'!J38/12)</f>
        <v>0.23283429256726029</v>
      </c>
      <c r="K37" s="177">
        <f>'[6]Payment - 10% down'!K38/('[6]Final income'!K38/12)</f>
        <v>0.23174832892193956</v>
      </c>
      <c r="L37" s="177">
        <f>'[6]Payment - 10% down'!L38/('[6]Final income'!L38/12)</f>
        <v>0.25252480416813028</v>
      </c>
      <c r="M37" s="177">
        <f>'[6]Payment - 10% down'!M38/('[6]Final income'!M38/12)</f>
        <v>0.23294000452749603</v>
      </c>
      <c r="N37" s="177">
        <f>'[6]Payment - 10% down'!N38/('[6]Final income'!N38/12)</f>
        <v>0.22591783990945563</v>
      </c>
      <c r="O37" s="177">
        <f>'[6]Payment - 10% down'!O38/('[6]Final income'!O38/12)</f>
        <v>0.21277847132856426</v>
      </c>
      <c r="P37" s="177">
        <f>'[6]Payment - 10% down'!P38/('[6]Final income'!P38/12)</f>
        <v>0.20594574932425197</v>
      </c>
      <c r="Q37" s="177">
        <f>'[6]Payment - 10% down'!Q38/('[6]Final income'!Q38/12)</f>
        <v>0.22463839498059246</v>
      </c>
      <c r="R37" s="177">
        <f>'[6]Payment - 10% down'!R38/('[6]Final income'!R38/12)</f>
        <v>0.24386316097869268</v>
      </c>
      <c r="S37" s="177">
        <f>'[6]Payment - 10% down'!S38/('[6]Final income'!S38/12)</f>
        <v>0.23248750996818679</v>
      </c>
      <c r="T37" s="177">
        <f>'[6]Payment - 10% down'!T38/('[6]Final income'!T38/12)</f>
        <v>0.22105708258555834</v>
      </c>
      <c r="U37" s="177">
        <f>'[6]Payment - 10% down'!U38/('[6]Final income'!U38/12)</f>
        <v>0.18858709833268988</v>
      </c>
      <c r="V37" s="177">
        <f>'[6]Payment - 10% down'!V38/('[6]Final income'!V38/12)</f>
        <v>0.18761558695945055</v>
      </c>
      <c r="W37" s="177">
        <f>'[6]Payment - 10% down'!W38/('[6]Final income'!W38/12)</f>
        <v>0.17935741177689754</v>
      </c>
    </row>
    <row r="38" spans="1:23">
      <c r="A38" s="65" t="s">
        <v>139</v>
      </c>
      <c r="B38" s="177">
        <f>'[6]Payment - 10% down'!B39/('[6]Final income'!B39/12)</f>
        <v>0.3929935651388653</v>
      </c>
      <c r="C38" s="177">
        <f>'[6]Payment - 10% down'!C39/('[6]Final income'!C39/12)</f>
        <v>0.31401458865837228</v>
      </c>
      <c r="D38" s="177">
        <f>'[6]Payment - 10% down'!D39/('[6]Final income'!D39/12)</f>
        <v>0.28630042576452119</v>
      </c>
      <c r="E38" s="177">
        <f>'[6]Payment - 10% down'!E39/('[6]Final income'!E39/12)</f>
        <v>0.25413247204449979</v>
      </c>
      <c r="F38" s="177">
        <f>'[6]Payment - 10% down'!F39/('[6]Final income'!F39/12)</f>
        <v>0.26497564271880369</v>
      </c>
      <c r="G38" s="177">
        <f>'[6]Payment - 10% down'!G39/('[6]Final income'!G39/12)</f>
        <v>0.2578357827086622</v>
      </c>
      <c r="H38" s="177">
        <f>'[6]Payment - 10% down'!H39/('[6]Final income'!H39/12)</f>
        <v>0.25304110955123016</v>
      </c>
      <c r="I38" s="177">
        <f>'[6]Payment - 10% down'!I39/('[6]Final income'!I39/12)</f>
        <v>0.23328377106412485</v>
      </c>
      <c r="J38" s="177">
        <f>'[6]Payment - 10% down'!J39/('[6]Final income'!J39/12)</f>
        <v>0.21139725104095392</v>
      </c>
      <c r="K38" s="177">
        <f>'[6]Payment - 10% down'!K39/('[6]Final income'!K39/12)</f>
        <v>0.21870948702960957</v>
      </c>
      <c r="L38" s="177">
        <f>'[6]Payment - 10% down'!L39/('[6]Final income'!L39/12)</f>
        <v>0.24319906453674578</v>
      </c>
      <c r="M38" s="177">
        <f>'[6]Payment - 10% down'!M39/('[6]Final income'!M39/12)</f>
        <v>0.22109489129177995</v>
      </c>
      <c r="N38" s="177">
        <f>'[6]Payment - 10% down'!N39/('[6]Final income'!N39/12)</f>
        <v>0.22439647796943812</v>
      </c>
      <c r="O38" s="177">
        <f>'[6]Payment - 10% down'!O39/('[6]Final income'!O39/12)</f>
        <v>0.23450322913863217</v>
      </c>
      <c r="P38" s="177">
        <f>'[6]Payment - 10% down'!P39/('[6]Final income'!P39/12)</f>
        <v>0.24204024892305581</v>
      </c>
      <c r="Q38" s="177">
        <f>'[6]Payment - 10% down'!Q39/('[6]Final income'!Q39/12)</f>
        <v>0.26307811920333674</v>
      </c>
      <c r="R38" s="177">
        <f>'[6]Payment - 10% down'!R39/('[6]Final income'!R39/12)</f>
        <v>0.27564628308784866</v>
      </c>
      <c r="S38" s="177">
        <f>'[6]Payment - 10% down'!S39/('[6]Final income'!S39/12)</f>
        <v>0.27217094873086356</v>
      </c>
      <c r="T38" s="177">
        <f>'[6]Payment - 10% down'!T39/('[6]Final income'!T39/12)</f>
        <v>0.23975948770836381</v>
      </c>
      <c r="U38" s="177">
        <f>'[6]Payment - 10% down'!U39/('[6]Final income'!U39/12)</f>
        <v>0.20463740965905361</v>
      </c>
      <c r="V38" s="177">
        <f>'[6]Payment - 10% down'!V39/('[6]Final income'!V39/12)</f>
        <v>0.20928231846822151</v>
      </c>
      <c r="W38" s="177">
        <f>'[6]Payment - 10% down'!W39/('[6]Final income'!W39/12)</f>
        <v>0.19519474354923677</v>
      </c>
    </row>
    <row r="39" spans="1:23">
      <c r="A39" s="65" t="s">
        <v>140</v>
      </c>
      <c r="B39" s="177">
        <f>'[6]Payment - 10% down'!B40/('[6]Final income'!B40/12)</f>
        <v>0.76948574706439987</v>
      </c>
      <c r="C39" s="177">
        <f>'[6]Payment - 10% down'!C40/('[6]Final income'!C40/12)</f>
        <v>0.71311919015242764</v>
      </c>
      <c r="D39" s="177">
        <f>'[6]Payment - 10% down'!D40/('[6]Final income'!D40/12)</f>
        <v>0.58594731279784207</v>
      </c>
      <c r="E39" s="177">
        <f>'[6]Payment - 10% down'!E40/('[6]Final income'!E40/12)</f>
        <v>0.53438943207864908</v>
      </c>
      <c r="F39" s="177">
        <f>'[6]Payment - 10% down'!F40/('[6]Final income'!F40/12)</f>
        <v>0.59877581085254961</v>
      </c>
      <c r="G39" s="177">
        <f>'[6]Payment - 10% down'!G40/('[6]Final income'!G40/12)</f>
        <v>0.54021867479446717</v>
      </c>
      <c r="H39" s="177">
        <f>'[6]Payment - 10% down'!H40/('[6]Final income'!H40/12)</f>
        <v>0.52168410776735974</v>
      </c>
      <c r="I39" s="177">
        <f>'[6]Payment - 10% down'!I40/('[6]Final income'!I40/12)</f>
        <v>0.4762354850790837</v>
      </c>
      <c r="J39" s="177">
        <f>'[6]Payment - 10% down'!J40/('[6]Final income'!J40/12)</f>
        <v>0.42789609815489199</v>
      </c>
      <c r="K39" s="177">
        <f>'[6]Payment - 10% down'!K40/('[6]Final income'!K40/12)</f>
        <v>0.42243695348458382</v>
      </c>
      <c r="L39" s="177">
        <f>'[6]Payment - 10% down'!L40/('[6]Final income'!L40/12)</f>
        <v>0.45196924810416583</v>
      </c>
      <c r="M39" s="177">
        <f>'[6]Payment - 10% down'!M40/('[6]Final income'!M40/12)</f>
        <v>0.41283783416358244</v>
      </c>
      <c r="N39" s="177">
        <f>'[6]Payment - 10% down'!N40/('[6]Final income'!N40/12)</f>
        <v>0.43550834862568882</v>
      </c>
      <c r="O39" s="177">
        <f>'[6]Payment - 10% down'!O40/('[6]Final income'!O40/12)</f>
        <v>0.45860408927457108</v>
      </c>
      <c r="P39" s="177">
        <f>'[6]Payment - 10% down'!P40/('[6]Final income'!P40/12)</f>
        <v>0.52704547421924541</v>
      </c>
      <c r="Q39" s="177">
        <f>'[6]Payment - 10% down'!Q40/('[6]Final income'!Q40/12)</f>
        <v>0.62429431501391586</v>
      </c>
      <c r="R39" s="177">
        <f>'[6]Payment - 10% down'!R40/('[6]Final income'!R40/12)</f>
        <v>0.67795654145358553</v>
      </c>
      <c r="S39" s="177">
        <f>'[6]Payment - 10% down'!S40/('[6]Final income'!S40/12)</f>
        <v>0.66060386427089113</v>
      </c>
      <c r="T39" s="177">
        <f>'[6]Payment - 10% down'!T40/('[6]Final income'!T40/12)</f>
        <v>0.58385836416923398</v>
      </c>
      <c r="U39" s="177">
        <f>'[6]Payment - 10% down'!U40/('[6]Final income'!U40/12)</f>
        <v>0.5229111454910863</v>
      </c>
      <c r="V39" s="177">
        <f>'[6]Payment - 10% down'!V40/('[6]Final income'!V40/12)</f>
        <v>0.52058903660685885</v>
      </c>
      <c r="W39" s="177">
        <f>'[6]Payment - 10% down'!W40/('[6]Final income'!W40/12)</f>
        <v>0.4783768956386294</v>
      </c>
    </row>
    <row r="40" spans="1:23">
      <c r="A40" s="65" t="s">
        <v>141</v>
      </c>
      <c r="B40" s="177">
        <f>'[6]Payment - 10% down'!B41/('[6]Final income'!B41/12)</f>
        <v>0.20018032732478025</v>
      </c>
      <c r="C40" s="177">
        <f>'[6]Payment - 10% down'!C41/('[6]Final income'!C41/12)</f>
        <v>0.19627993599232718</v>
      </c>
      <c r="D40" s="177">
        <f>'[6]Payment - 10% down'!D41/('[6]Final income'!D41/12)</f>
        <v>0.19576794421000129</v>
      </c>
      <c r="E40" s="177">
        <f>'[6]Payment - 10% down'!E41/('[6]Final income'!E41/12)</f>
        <v>0.17240552298700929</v>
      </c>
      <c r="F40" s="177">
        <f>'[6]Payment - 10% down'!F41/('[6]Final income'!F41/12)</f>
        <v>0.17762666409828964</v>
      </c>
      <c r="G40" s="177">
        <f>'[6]Payment - 10% down'!G41/('[6]Final income'!G41/12)</f>
        <v>0.16075029740020361</v>
      </c>
      <c r="H40" s="177">
        <f>'[6]Payment - 10% down'!H41/('[6]Final income'!H41/12)</f>
        <v>0.16503246200598179</v>
      </c>
      <c r="I40" s="177">
        <f>'[6]Payment - 10% down'!I41/('[6]Final income'!I41/12)</f>
        <v>0.16440548963554369</v>
      </c>
      <c r="J40" s="177">
        <f>'[6]Payment - 10% down'!J41/('[6]Final income'!J41/12)</f>
        <v>0.16263408578120539</v>
      </c>
      <c r="K40" s="177">
        <f>'[6]Payment - 10% down'!K41/('[6]Final income'!K41/12)</f>
        <v>0.17632234406167166</v>
      </c>
      <c r="L40" s="177">
        <f>'[6]Payment - 10% down'!L41/('[6]Final income'!L41/12)</f>
        <v>0.20475097596847019</v>
      </c>
      <c r="M40" s="177">
        <f>'[6]Payment - 10% down'!M41/('[6]Final income'!M41/12)</f>
        <v>0.19454367159169011</v>
      </c>
      <c r="N40" s="177">
        <f>'[6]Payment - 10% down'!N41/('[6]Final income'!N41/12)</f>
        <v>0.1968797731271395</v>
      </c>
      <c r="O40" s="177">
        <f>'[6]Payment - 10% down'!O41/('[6]Final income'!O41/12)</f>
        <v>0.18834003715016798</v>
      </c>
      <c r="P40" s="177">
        <f>'[6]Payment - 10% down'!P41/('[6]Final income'!P41/12)</f>
        <v>0.18682885714300945</v>
      </c>
      <c r="Q40" s="177">
        <f>'[6]Payment - 10% down'!Q41/('[6]Final income'!Q41/12)</f>
        <v>0.19613763792458483</v>
      </c>
      <c r="R40" s="177">
        <f>'[6]Payment - 10% down'!R41/('[6]Final income'!R41/12)</f>
        <v>0.20210573787707303</v>
      </c>
      <c r="S40" s="177">
        <f>'[6]Payment - 10% down'!S41/('[6]Final income'!S41/12)</f>
        <v>0.19138535057394815</v>
      </c>
      <c r="T40" s="177">
        <f>'[6]Payment - 10% down'!T41/('[6]Final income'!T41/12)</f>
        <v>0.17341908821064242</v>
      </c>
      <c r="U40" s="177">
        <f>'[6]Payment - 10% down'!U41/('[6]Final income'!U41/12)</f>
        <v>0.16121379088752227</v>
      </c>
      <c r="V40" s="177">
        <f>'[6]Payment - 10% down'!V41/('[6]Final income'!V41/12)</f>
        <v>0.1565722220135983</v>
      </c>
      <c r="W40" s="177">
        <f>'[6]Payment - 10% down'!W41/('[6]Final income'!W41/12)</f>
        <v>0.14699032281377789</v>
      </c>
    </row>
    <row r="41" spans="1:23">
      <c r="A41" s="65" t="s">
        <v>142</v>
      </c>
      <c r="B41" s="177">
        <f>'[6]Payment - 10% down'!B42/('[6]Final income'!B42/12)</f>
        <v>0.2137412676076863</v>
      </c>
      <c r="C41" s="177">
        <f>'[6]Payment - 10% down'!C42/('[6]Final income'!C42/12)</f>
        <v>0.21016927006964095</v>
      </c>
      <c r="D41" s="177">
        <f>'[6]Payment - 10% down'!D42/('[6]Final income'!D42/12)</f>
        <v>0.19656057904366814</v>
      </c>
      <c r="E41" s="177">
        <f>'[6]Payment - 10% down'!E42/('[6]Final income'!E42/12)</f>
        <v>0.17920582812238028</v>
      </c>
      <c r="F41" s="177">
        <f>'[6]Payment - 10% down'!F42/('[6]Final income'!F42/12)</f>
        <v>0.22236986365785533</v>
      </c>
      <c r="G41" s="177">
        <f>'[6]Payment - 10% down'!G42/('[6]Final income'!G42/12)</f>
        <v>0.18710387964071501</v>
      </c>
      <c r="H41" s="177">
        <f>'[6]Payment - 10% down'!H42/('[6]Final income'!H42/12)</f>
        <v>0.18398560683342929</v>
      </c>
      <c r="I41" s="177">
        <f>'[6]Payment - 10% down'!I42/('[6]Final income'!I42/12)</f>
        <v>0.17451801045768461</v>
      </c>
      <c r="J41" s="177">
        <f>'[6]Payment - 10% down'!J42/('[6]Final income'!J42/12)</f>
        <v>0.16835208439049051</v>
      </c>
      <c r="K41" s="177">
        <f>'[6]Payment - 10% down'!K42/('[6]Final income'!K42/12)</f>
        <v>0.17774616626092857</v>
      </c>
      <c r="L41" s="177">
        <f>'[6]Payment - 10% down'!L42/('[6]Final income'!L42/12)</f>
        <v>0.18963970727248727</v>
      </c>
      <c r="M41" s="177">
        <f>'[6]Payment - 10% down'!M42/('[6]Final income'!M42/12)</f>
        <v>0.17599912416325145</v>
      </c>
      <c r="N41" s="177">
        <f>'[6]Payment - 10% down'!N42/('[6]Final income'!N42/12)</f>
        <v>0.16693227087170445</v>
      </c>
      <c r="O41" s="177">
        <f>'[6]Payment - 10% down'!O42/('[6]Final income'!O42/12)</f>
        <v>0.15732519408243989</v>
      </c>
      <c r="P41" s="177">
        <f>'[6]Payment - 10% down'!P42/('[6]Final income'!P42/12)</f>
        <v>0.15623133775949161</v>
      </c>
      <c r="Q41" s="177">
        <f>'[6]Payment - 10% down'!Q42/('[6]Final income'!Q42/12)</f>
        <v>0.15430540132261616</v>
      </c>
      <c r="R41" s="177">
        <f>'[6]Payment - 10% down'!R42/('[6]Final income'!R42/12)</f>
        <v>0.15451131660544826</v>
      </c>
      <c r="S41" s="177">
        <f>'[6]Payment - 10% down'!S42/('[6]Final income'!S42/12)</f>
        <v>0.14739635332271953</v>
      </c>
      <c r="T41" s="177">
        <f>'[6]Payment - 10% down'!T42/('[6]Final income'!T42/12)</f>
        <v>0.13184575901028908</v>
      </c>
      <c r="U41" s="177">
        <f>'[6]Payment - 10% down'!U42/('[6]Final income'!U42/12)</f>
        <v>0.12660344268958301</v>
      </c>
      <c r="V41" s="177">
        <f>'[6]Payment - 10% down'!V42/('[6]Final income'!V42/12)</f>
        <v>0.13619494164433707</v>
      </c>
      <c r="W41" s="177">
        <f>'[6]Payment - 10% down'!W42/('[6]Final income'!W42/12)</f>
        <v>0.1302195700627333</v>
      </c>
    </row>
    <row r="42" spans="1:23">
      <c r="A42" s="65" t="s">
        <v>143</v>
      </c>
      <c r="B42" s="177" t="s">
        <v>25</v>
      </c>
      <c r="C42" s="177">
        <f>'[6]Payment - 10% down'!C43/('[6]Final income'!C43/12)</f>
        <v>0.24887108464855526</v>
      </c>
      <c r="D42" s="177">
        <f>'[6]Payment - 10% down'!D43/('[6]Final income'!D43/12)</f>
        <v>0.22276315363173929</v>
      </c>
      <c r="E42" s="177">
        <f>'[6]Payment - 10% down'!E43/('[6]Final income'!E43/12)</f>
        <v>0.1974164123767698</v>
      </c>
      <c r="F42" s="177">
        <f>'[6]Payment - 10% down'!F43/('[6]Final income'!F43/12)</f>
        <v>0.20066599403270638</v>
      </c>
      <c r="G42" s="177">
        <f>'[6]Payment - 10% down'!G43/('[6]Final income'!G43/12)</f>
        <v>0.18959237226268785</v>
      </c>
      <c r="H42" s="177">
        <f>'[6]Payment - 10% down'!H43/('[6]Final income'!H43/12)</f>
        <v>0.2055385302256153</v>
      </c>
      <c r="I42" s="177">
        <f>'[6]Payment - 10% down'!I43/('[6]Final income'!I43/12)</f>
        <v>0.19544021484671489</v>
      </c>
      <c r="J42" s="177">
        <f>'[6]Payment - 10% down'!J43/('[6]Final income'!J43/12)</f>
        <v>0.18979398837090197</v>
      </c>
      <c r="K42" s="177">
        <f>'[6]Payment - 10% down'!K43/('[6]Final income'!K43/12)</f>
        <v>0.18896284149033235</v>
      </c>
      <c r="L42" s="177">
        <f>'[6]Payment - 10% down'!L43/('[6]Final income'!L43/12)</f>
        <v>0.20796039403149916</v>
      </c>
      <c r="M42" s="177" t="s">
        <v>25</v>
      </c>
      <c r="N42" s="177">
        <f>'[6]Payment - 10% down'!N43/('[6]Final income'!N43/12)</f>
        <v>0.19855085787875784</v>
      </c>
      <c r="O42" s="177">
        <f>'[6]Payment - 10% down'!O43/('[6]Final income'!O43/12)</f>
        <v>0.17791367645671929</v>
      </c>
      <c r="P42" s="177">
        <f>'[6]Payment - 10% down'!P43/('[6]Final income'!P43/12)</f>
        <v>0.19581204048352979</v>
      </c>
      <c r="Q42" s="177">
        <f>'[6]Payment - 10% down'!Q43/('[6]Final income'!Q43/12)</f>
        <v>0.21467951997020118</v>
      </c>
      <c r="R42" s="177">
        <f>'[6]Payment - 10% down'!R43/('[6]Final income'!R43/12)</f>
        <v>0.23936269552595013</v>
      </c>
      <c r="S42" s="177">
        <f>'[6]Payment - 10% down'!S43/('[6]Final income'!S43/12)</f>
        <v>0.21191266961155433</v>
      </c>
      <c r="T42" s="177">
        <f>'[6]Payment - 10% down'!T43/('[6]Final income'!T43/12)</f>
        <v>0.18363967174491286</v>
      </c>
      <c r="U42" s="177">
        <f>'[6]Payment - 10% down'!U43/('[6]Final income'!U43/12)</f>
        <v>0.17807011607229056</v>
      </c>
      <c r="V42" s="177">
        <f>'[6]Payment - 10% down'!V43/('[6]Final income'!V43/12)</f>
        <v>0.17037020784869755</v>
      </c>
      <c r="W42" s="177">
        <f>'[6]Payment - 10% down'!W43/('[6]Final income'!W43/12)</f>
        <v>0.16756237842035906</v>
      </c>
    </row>
    <row r="43" spans="1:23">
      <c r="A43" s="65" t="s">
        <v>144</v>
      </c>
      <c r="B43" s="177">
        <f>'[6]Payment - 10% down'!B44/('[6]Final income'!B44/12)</f>
        <v>0.2266184503479701</v>
      </c>
      <c r="C43" s="177">
        <f>'[6]Payment - 10% down'!C44/('[6]Final income'!C44/12)</f>
        <v>0.20725677926898725</v>
      </c>
      <c r="D43" s="177">
        <f>'[6]Payment - 10% down'!D44/('[6]Final income'!D44/12)</f>
        <v>0.19820974657829116</v>
      </c>
      <c r="E43" s="177">
        <f>'[6]Payment - 10% down'!E44/('[6]Final income'!E44/12)</f>
        <v>0.17022580888531913</v>
      </c>
      <c r="F43" s="177">
        <f>'[6]Payment - 10% down'!F44/('[6]Final income'!F44/12)</f>
        <v>0.19447822695927919</v>
      </c>
      <c r="G43" s="177">
        <f>'[6]Payment - 10% down'!G44/('[6]Final income'!G44/12)</f>
        <v>0.18450896975683756</v>
      </c>
      <c r="H43" s="177">
        <f>'[6]Payment - 10% down'!H44/('[6]Final income'!H44/12)</f>
        <v>0.1872671018994046</v>
      </c>
      <c r="I43" s="177">
        <f>'[6]Payment - 10% down'!I44/('[6]Final income'!I44/12)</f>
        <v>0.16948400028147304</v>
      </c>
      <c r="J43" s="177">
        <f>'[6]Payment - 10% down'!J44/('[6]Final income'!J44/12)</f>
        <v>0.15972780868716138</v>
      </c>
      <c r="K43" s="177">
        <f>'[6]Payment - 10% down'!K44/('[6]Final income'!K44/12)</f>
        <v>0.16599538682834078</v>
      </c>
      <c r="L43" s="177">
        <f>'[6]Payment - 10% down'!L44/('[6]Final income'!L44/12)</f>
        <v>0.18422379076876655</v>
      </c>
      <c r="M43" s="177">
        <f>'[6]Payment - 10% down'!M44/('[6]Final income'!M44/12)</f>
        <v>0.17899530647367204</v>
      </c>
      <c r="N43" s="177">
        <f>'[6]Payment - 10% down'!N44/('[6]Final income'!N44/12)</f>
        <v>0.18199308117169266</v>
      </c>
      <c r="O43" s="177">
        <f>'[6]Payment - 10% down'!O44/('[6]Final income'!O44/12)</f>
        <v>0.18837778753145415</v>
      </c>
      <c r="P43" s="177">
        <f>'[6]Payment - 10% down'!P44/('[6]Final income'!P44/12)</f>
        <v>0.21007866238468698</v>
      </c>
      <c r="Q43" s="177">
        <f>'[6]Payment - 10% down'!Q44/('[6]Final income'!Q44/12)</f>
        <v>0.23536652283142923</v>
      </c>
      <c r="R43" s="177">
        <f>'[6]Payment - 10% down'!R44/('[6]Final income'!R44/12)</f>
        <v>0.25765122301897297</v>
      </c>
      <c r="S43" s="177">
        <f>'[6]Payment - 10% down'!S44/('[6]Final income'!S44/12)</f>
        <v>0.2422422769653223</v>
      </c>
      <c r="T43" s="177">
        <f>'[6]Payment - 10% down'!T44/('[6]Final income'!T44/12)</f>
        <v>0.21620705709004059</v>
      </c>
      <c r="U43" s="177">
        <f>'[6]Payment - 10% down'!U44/('[6]Final income'!U44/12)</f>
        <v>0.17141806126871412</v>
      </c>
      <c r="V43" s="177">
        <f>'[6]Payment - 10% down'!V44/('[6]Final income'!V44/12)</f>
        <v>0.15245888316161696</v>
      </c>
      <c r="W43" s="177">
        <f>'[6]Payment - 10% down'!W44/('[6]Final income'!W44/12)</f>
        <v>0.13327419754859837</v>
      </c>
    </row>
    <row r="44" spans="1:23">
      <c r="A44" s="65" t="s">
        <v>145</v>
      </c>
      <c r="B44" s="177">
        <f>'[6]Payment - 10% down'!B45/('[6]Final income'!B45/12)</f>
        <v>0.21227270687234279</v>
      </c>
      <c r="C44" s="177">
        <f>'[6]Payment - 10% down'!C45/('[6]Final income'!C45/12)</f>
        <v>0.20283606435499366</v>
      </c>
      <c r="D44" s="177">
        <f>'[6]Payment - 10% down'!D45/('[6]Final income'!D45/12)</f>
        <v>0.19352126976037182</v>
      </c>
      <c r="E44" s="177">
        <f>'[6]Payment - 10% down'!E45/('[6]Final income'!E45/12)</f>
        <v>0.17934106903488631</v>
      </c>
      <c r="F44" s="177">
        <f>'[6]Payment - 10% down'!F45/('[6]Final income'!F45/12)</f>
        <v>0.20646756596101082</v>
      </c>
      <c r="G44" s="177">
        <f>'[6]Payment - 10% down'!G45/('[6]Final income'!G45/12)</f>
        <v>0.18597626526972569</v>
      </c>
      <c r="H44" s="177">
        <f>'[6]Payment - 10% down'!H45/('[6]Final income'!H45/12)</f>
        <v>0.19412667550610849</v>
      </c>
      <c r="I44" s="177">
        <f>'[6]Payment - 10% down'!I45/('[6]Final income'!I45/12)</f>
        <v>0.18756395743717807</v>
      </c>
      <c r="J44" s="177">
        <f>'[6]Payment - 10% down'!J45/('[6]Final income'!J45/12)</f>
        <v>0.17707391144966422</v>
      </c>
      <c r="K44" s="177">
        <f>'[6]Payment - 10% down'!K45/('[6]Final income'!K45/12)</f>
        <v>0.19457018123456646</v>
      </c>
      <c r="L44" s="177">
        <f>'[6]Payment - 10% down'!L45/('[6]Final income'!L45/12)</f>
        <v>0.21318418449871171</v>
      </c>
      <c r="M44" s="177">
        <f>'[6]Payment - 10% down'!M45/('[6]Final income'!M45/12)</f>
        <v>0.20081071005871956</v>
      </c>
      <c r="N44" s="177">
        <f>'[6]Payment - 10% down'!N45/('[6]Final income'!N45/12)</f>
        <v>0.19338220967538991</v>
      </c>
      <c r="O44" s="177">
        <f>'[6]Payment - 10% down'!O45/('[6]Final income'!O45/12)</f>
        <v>0.1838450585460869</v>
      </c>
      <c r="P44" s="177">
        <f>'[6]Payment - 10% down'!P45/('[6]Final income'!P45/12)</f>
        <v>0.18816955987172554</v>
      </c>
      <c r="Q44" s="177">
        <f>'[6]Payment - 10% down'!Q45/('[6]Final income'!Q45/12)</f>
        <v>0.19383828223293784</v>
      </c>
      <c r="R44" s="177">
        <f>'[6]Payment - 10% down'!R45/('[6]Final income'!R45/12)</f>
        <v>0.19798592848808139</v>
      </c>
      <c r="S44" s="177">
        <f>'[6]Payment - 10% down'!S45/('[6]Final income'!S45/12)</f>
        <v>0.18502001987543512</v>
      </c>
      <c r="T44" s="177">
        <f>'[6]Payment - 10% down'!T45/('[6]Final income'!T45/12)</f>
        <v>0.16067952318305218</v>
      </c>
      <c r="U44" s="177">
        <f>'[6]Payment - 10% down'!U45/('[6]Final income'!U45/12)</f>
        <v>0.14687267342732438</v>
      </c>
      <c r="V44" s="177">
        <f>'[6]Payment - 10% down'!V45/('[6]Final income'!V45/12)</f>
        <v>0.14250975926742926</v>
      </c>
      <c r="W44" s="177">
        <f>'[6]Payment - 10% down'!W45/('[6]Final income'!W45/12)</f>
        <v>0.12780328614785799</v>
      </c>
    </row>
    <row r="45" spans="1:23">
      <c r="A45" s="65" t="s">
        <v>146</v>
      </c>
      <c r="B45" s="177">
        <f>'[6]Payment - 10% down'!B46/('[6]Final income'!B46/12)</f>
        <v>0.27852268708940542</v>
      </c>
      <c r="C45" s="177">
        <f>'[6]Payment - 10% down'!C46/('[6]Final income'!C46/12)</f>
        <v>0.25368576665856063</v>
      </c>
      <c r="D45" s="177">
        <f>'[6]Payment - 10% down'!D46/('[6]Final income'!D46/12)</f>
        <v>0.24341044112610341</v>
      </c>
      <c r="E45" s="177">
        <f>'[6]Payment - 10% down'!E46/('[6]Final income'!E46/12)</f>
        <v>0.22881153066232479</v>
      </c>
      <c r="F45" s="177">
        <f>'[6]Payment - 10% down'!F46/('[6]Final income'!F46/12)</f>
        <v>0.23633545419504964</v>
      </c>
      <c r="G45" s="177">
        <f>'[6]Payment - 10% down'!G46/('[6]Final income'!G46/12)</f>
        <v>0.23696086551005732</v>
      </c>
      <c r="H45" s="177">
        <f>'[6]Payment - 10% down'!H46/('[6]Final income'!H46/12)</f>
        <v>0.23677147667146303</v>
      </c>
      <c r="I45" s="177">
        <f>'[6]Payment - 10% down'!I46/('[6]Final income'!I46/12)</f>
        <v>0.23870860656788076</v>
      </c>
      <c r="J45" s="177">
        <f>'[6]Payment - 10% down'!J46/('[6]Final income'!J46/12)</f>
        <v>0.21324404359029739</v>
      </c>
      <c r="K45" s="177">
        <f>'[6]Payment - 10% down'!K46/('[6]Final income'!K46/12)</f>
        <v>0.21796032434618953</v>
      </c>
      <c r="L45" s="177">
        <f>'[6]Payment - 10% down'!L46/('[6]Final income'!L46/12)</f>
        <v>0.23349451345636799</v>
      </c>
      <c r="M45" s="177">
        <f>'[6]Payment - 10% down'!M46/('[6]Final income'!M46/12)</f>
        <v>0.22081461111892711</v>
      </c>
      <c r="N45" s="177">
        <f>'[6]Payment - 10% down'!N46/('[6]Final income'!N46/12)</f>
        <v>0.21107602862752717</v>
      </c>
      <c r="O45" s="177">
        <f>'[6]Payment - 10% down'!O46/('[6]Final income'!O46/12)</f>
        <v>0.20759676077578421</v>
      </c>
      <c r="P45" s="177">
        <f>'[6]Payment - 10% down'!P46/('[6]Final income'!P46/12)</f>
        <v>0.20566805266527594</v>
      </c>
      <c r="Q45" s="177">
        <f>'[6]Payment - 10% down'!Q46/('[6]Final income'!Q46/12)</f>
        <v>0.22455596139489395</v>
      </c>
      <c r="R45" s="177">
        <f>'[6]Payment - 10% down'!R46/('[6]Final income'!R46/12)</f>
        <v>0.24006643494579177</v>
      </c>
      <c r="S45" s="177">
        <f>'[6]Payment - 10% down'!S46/('[6]Final income'!S46/12)</f>
        <v>0.2349779846957919</v>
      </c>
      <c r="T45" s="177">
        <f>'[6]Payment - 10% down'!T46/('[6]Final income'!T46/12)</f>
        <v>0.21034286603519359</v>
      </c>
      <c r="U45" s="177">
        <f>'[6]Payment - 10% down'!U46/('[6]Final income'!U46/12)</f>
        <v>0.187282759473055</v>
      </c>
      <c r="V45" s="177">
        <f>'[6]Payment - 10% down'!V46/('[6]Final income'!V46/12)</f>
        <v>0.18053281029575213</v>
      </c>
      <c r="W45" s="177">
        <f>'[6]Payment - 10% down'!W46/('[6]Final income'!W46/12)</f>
        <v>0.17351407222375242</v>
      </c>
    </row>
    <row r="46" spans="1:23">
      <c r="A46" s="65" t="s">
        <v>147</v>
      </c>
      <c r="B46" s="177">
        <f>'[6]Payment - 10% down'!B47/('[6]Final income'!B47/12)</f>
        <v>0.26607247556308816</v>
      </c>
      <c r="C46" s="177">
        <f>'[6]Payment - 10% down'!C47/('[6]Final income'!C47/12)</f>
        <v>0.25829854041076916</v>
      </c>
      <c r="D46" s="177">
        <f>'[6]Payment - 10% down'!D47/('[6]Final income'!D47/12)</f>
        <v>0.25195627526477316</v>
      </c>
      <c r="E46" s="177">
        <f>'[6]Payment - 10% down'!E47/('[6]Final income'!E47/12)</f>
        <v>0.20791884455415494</v>
      </c>
      <c r="F46" s="177">
        <f>'[6]Payment - 10% down'!F47/('[6]Final income'!F47/12)</f>
        <v>0.23367705666828867</v>
      </c>
      <c r="G46" s="177">
        <f>'[6]Payment - 10% down'!G47/('[6]Final income'!G47/12)</f>
        <v>0.22673925539352782</v>
      </c>
      <c r="H46" s="177">
        <f>'[6]Payment - 10% down'!H47/('[6]Final income'!H47/12)</f>
        <v>0.21832132554456299</v>
      </c>
      <c r="I46" s="177">
        <f>'[6]Payment - 10% down'!I47/('[6]Final income'!I47/12)</f>
        <v>0.21923526941272048</v>
      </c>
      <c r="J46" s="177">
        <f>'[6]Payment - 10% down'!J47/('[6]Final income'!J47/12)</f>
        <v>0.20832335165054003</v>
      </c>
      <c r="K46" s="177">
        <f>'[6]Payment - 10% down'!K47/('[6]Final income'!K47/12)</f>
        <v>0.21979273679368241</v>
      </c>
      <c r="L46" s="177">
        <f>'[6]Payment - 10% down'!L47/('[6]Final income'!L47/12)</f>
        <v>0.24780385338662997</v>
      </c>
      <c r="M46" s="177">
        <f>'[6]Payment - 10% down'!M47/('[6]Final income'!M47/12)</f>
        <v>0.24373864032553796</v>
      </c>
      <c r="N46" s="177">
        <f>'[6]Payment - 10% down'!N47/('[6]Final income'!N47/12)</f>
        <v>0.25458858948849961</v>
      </c>
      <c r="O46" s="177">
        <f>'[6]Payment - 10% down'!O47/('[6]Final income'!O47/12)</f>
        <v>0.25878151062199178</v>
      </c>
      <c r="P46" s="177">
        <f>'[6]Payment - 10% down'!P47/('[6]Final income'!P47/12)</f>
        <v>0.3845430998265269</v>
      </c>
      <c r="Q46" s="177">
        <f>'[6]Payment - 10% down'!Q47/('[6]Final income'!Q47/12)</f>
        <v>0.39820871150523568</v>
      </c>
      <c r="R46" s="177">
        <f>'[6]Payment - 10% down'!R47/('[6]Final income'!R47/12)</f>
        <v>0.40278645575460875</v>
      </c>
      <c r="S46" s="177">
        <f>'[6]Payment - 10% down'!S47/('[6]Final income'!S47/12)</f>
        <v>0.35714824971555464</v>
      </c>
      <c r="T46" s="177">
        <f>'[6]Payment - 10% down'!T47/('[6]Final income'!T47/12)</f>
        <v>0.24957974195061833</v>
      </c>
      <c r="U46" s="177">
        <f>'[6]Payment - 10% down'!U47/('[6]Final income'!U47/12)</f>
        <v>0.15570224184878251</v>
      </c>
      <c r="V46" s="177">
        <f>'[6]Payment - 10% down'!V47/('[6]Final income'!V47/12)</f>
        <v>0.15077996573054081</v>
      </c>
      <c r="W46" s="177">
        <f>'[6]Payment - 10% down'!W47/('[6]Final income'!W47/12)</f>
        <v>0.13057675630346266</v>
      </c>
    </row>
    <row r="47" spans="1:23">
      <c r="A47" s="65" t="s">
        <v>148</v>
      </c>
      <c r="B47" s="177">
        <f>'[6]Payment - 10% down'!B48/('[6]Final income'!B48/12)</f>
        <v>0.22145986883827654</v>
      </c>
      <c r="C47" s="177">
        <f>'[6]Payment - 10% down'!C48/('[6]Final income'!C48/12)</f>
        <v>0.20578810508577275</v>
      </c>
      <c r="D47" s="177" t="s">
        <v>25</v>
      </c>
      <c r="E47" s="177">
        <f>'[6]Payment - 10% down'!E48/('[6]Final income'!E48/12)</f>
        <v>0.20385085518380852</v>
      </c>
      <c r="F47" s="177">
        <f>'[6]Payment - 10% down'!F48/('[6]Final income'!F48/12)</f>
        <v>0.18976506440957605</v>
      </c>
      <c r="G47" s="177">
        <f>'[6]Payment - 10% down'!G48/('[6]Final income'!G48/12)</f>
        <v>0.18807099931236812</v>
      </c>
      <c r="H47" s="177">
        <f>'[6]Payment - 10% down'!H48/('[6]Final income'!H48/12)</f>
        <v>0.18584790553267186</v>
      </c>
      <c r="I47" s="177">
        <f>'[6]Payment - 10% down'!I48/('[6]Final income'!I48/12)</f>
        <v>0.19174101092046955</v>
      </c>
      <c r="J47" s="177">
        <f>'[6]Payment - 10% down'!J48/('[6]Final income'!J48/12)</f>
        <v>0.17923022029845212</v>
      </c>
      <c r="K47" s="177">
        <f>'[6]Payment - 10% down'!K48/('[6]Final income'!K48/12)</f>
        <v>0.17574252376836461</v>
      </c>
      <c r="L47" s="177">
        <f>'[6]Payment - 10% down'!L48/('[6]Final income'!L48/12)</f>
        <v>0.17679258214966109</v>
      </c>
      <c r="M47" s="177">
        <f>'[6]Payment - 10% down'!M48/('[6]Final income'!M48/12)</f>
        <v>0.16867703696299127</v>
      </c>
      <c r="N47" s="177">
        <f>'[6]Payment - 10% down'!N48/('[6]Final income'!N48/12)</f>
        <v>0.1582907950513662</v>
      </c>
      <c r="O47" s="177">
        <f>'[6]Payment - 10% down'!O48/('[6]Final income'!O48/12)</f>
        <v>0.16052319571166429</v>
      </c>
      <c r="P47" s="177">
        <f>'[6]Payment - 10% down'!P48/('[6]Final income'!P48/12)</f>
        <v>0.17325546198713687</v>
      </c>
      <c r="Q47" s="177">
        <f>'[6]Payment - 10% down'!Q48/('[6]Final income'!Q48/12)</f>
        <v>0.18115522770955941</v>
      </c>
      <c r="R47" s="177">
        <f>'[6]Payment - 10% down'!R48/('[6]Final income'!R48/12)</f>
        <v>0.19541488302476923</v>
      </c>
      <c r="S47" s="177">
        <f>'[6]Payment - 10% down'!S48/('[6]Final income'!S48/12)</f>
        <v>0.18926315197858218</v>
      </c>
      <c r="T47" s="177">
        <f>'[6]Payment - 10% down'!T48/('[6]Final income'!T48/12)</f>
        <v>0.18206500575884416</v>
      </c>
      <c r="U47" s="177">
        <f>'[6]Payment - 10% down'!U48/('[6]Final income'!U48/12)</f>
        <v>0.17128081086962679</v>
      </c>
      <c r="V47" s="177">
        <f>'[6]Payment - 10% down'!V48/('[6]Final income'!V48/12)</f>
        <v>0.16381591702869097</v>
      </c>
      <c r="W47" s="177">
        <f>'[6]Payment - 10% down'!W48/('[6]Final income'!W48/12)</f>
        <v>0.14868101448345813</v>
      </c>
    </row>
    <row r="48" spans="1:23">
      <c r="A48" s="65" t="s">
        <v>149</v>
      </c>
      <c r="B48" s="177">
        <f>'[6]Payment - 10% down'!B49/('[6]Final income'!B49/12)</f>
        <v>0.53997045465214777</v>
      </c>
      <c r="C48" s="177">
        <f>'[6]Payment - 10% down'!C49/('[6]Final income'!C49/12)</f>
        <v>0.51212631192887836</v>
      </c>
      <c r="D48" s="177">
        <f>'[6]Payment - 10% down'!D49/('[6]Final income'!D49/12)</f>
        <v>0.45197092605654088</v>
      </c>
      <c r="E48" s="177">
        <f>'[6]Payment - 10% down'!E49/('[6]Final income'!E49/12)</f>
        <v>0.38552367086392275</v>
      </c>
      <c r="F48" s="177">
        <f>'[6]Payment - 10% down'!F49/('[6]Final income'!F49/12)</f>
        <v>0.40230095949656436</v>
      </c>
      <c r="G48" s="177">
        <f>'[6]Payment - 10% down'!G49/('[6]Final income'!G49/12)</f>
        <v>0.34669813799133614</v>
      </c>
      <c r="H48" s="177">
        <f>'[6]Payment - 10% down'!H49/('[6]Final income'!H49/12)</f>
        <v>0.31686392890277182</v>
      </c>
      <c r="I48" s="177">
        <f>'[6]Payment - 10% down'!I49/('[6]Final income'!I49/12)</f>
        <v>0.30963438118528402</v>
      </c>
      <c r="J48" s="177">
        <f>'[6]Payment - 10% down'!J49/('[6]Final income'!J49/12)</f>
        <v>0.30385078486066641</v>
      </c>
      <c r="K48" s="177">
        <f>'[6]Payment - 10% down'!K49/('[6]Final income'!K49/12)</f>
        <v>0.32500806473737548</v>
      </c>
      <c r="L48" s="177">
        <f>'[6]Payment - 10% down'!L49/('[6]Final income'!L49/12)</f>
        <v>0.36723394789745561</v>
      </c>
      <c r="M48" s="177">
        <f>'[6]Payment - 10% down'!M49/('[6]Final income'!M49/12)</f>
        <v>0.36258746007756354</v>
      </c>
      <c r="N48" s="177">
        <f>'[6]Payment - 10% down'!N49/('[6]Final income'!N49/12)</f>
        <v>0.40635823370639534</v>
      </c>
      <c r="O48" s="177">
        <f>'[6]Payment - 10% down'!O49/('[6]Final income'!O49/12)</f>
        <v>0.45435100719831389</v>
      </c>
      <c r="P48" s="177">
        <f>'[6]Payment - 10% down'!P49/('[6]Final income'!P49/12)</f>
        <v>0.5623485268665076</v>
      </c>
      <c r="Q48" s="177">
        <f>'[6]Payment - 10% down'!Q49/('[6]Final income'!Q49/12)</f>
        <v>0.64053269764263654</v>
      </c>
      <c r="R48" s="177">
        <f>'[6]Payment - 10% down'!R49/('[6]Final income'!R49/12)</f>
        <v>0.70057246347208002</v>
      </c>
      <c r="S48" s="177">
        <f>'[6]Payment - 10% down'!S49/('[6]Final income'!S49/12)</f>
        <v>0.65141676645386914</v>
      </c>
      <c r="T48" s="177">
        <f>'[6]Payment - 10% down'!T49/('[6]Final income'!T49/12)</f>
        <v>0.43710221489772483</v>
      </c>
      <c r="U48" s="177">
        <f>'[6]Payment - 10% down'!U49/('[6]Final income'!U49/12)</f>
        <v>0.3273924966107975</v>
      </c>
      <c r="V48" s="177">
        <f>'[6]Payment - 10% down'!V49/('[6]Final income'!V49/12)</f>
        <v>0.30978897245419423</v>
      </c>
      <c r="W48" s="177">
        <f>'[6]Payment - 10% down'!W49/('[6]Final income'!W49/12)</f>
        <v>0.28169259310979844</v>
      </c>
    </row>
    <row r="49" spans="1:23">
      <c r="A49" s="65" t="s">
        <v>150</v>
      </c>
      <c r="B49" s="177">
        <f>'[6]Payment - 10% down'!B50/('[6]Final income'!B50/12)</f>
        <v>0.20438784285902395</v>
      </c>
      <c r="C49" s="177">
        <f>'[6]Payment - 10% down'!C50/('[6]Final income'!C50/12)</f>
        <v>0.21008100322926332</v>
      </c>
      <c r="D49" s="177">
        <f>'[6]Payment - 10% down'!D50/('[6]Final income'!D50/12)</f>
        <v>0.20646272103109203</v>
      </c>
      <c r="E49" s="177">
        <f>'[6]Payment - 10% down'!E50/('[6]Final income'!E50/12)</f>
        <v>0.19124744861842083</v>
      </c>
      <c r="F49" s="177">
        <f>'[6]Payment - 10% down'!F50/('[6]Final income'!F50/12)</f>
        <v>0.21641100006698599</v>
      </c>
      <c r="G49" s="177">
        <f>'[6]Payment - 10% down'!G50/('[6]Final income'!G50/12)</f>
        <v>0.19490475403144841</v>
      </c>
      <c r="H49" s="177">
        <f>'[6]Payment - 10% down'!H50/('[6]Final income'!H50/12)</f>
        <v>0.18954616615835751</v>
      </c>
      <c r="I49" s="177">
        <f>'[6]Payment - 10% down'!I50/('[6]Final income'!I50/12)</f>
        <v>0.18690324325516997</v>
      </c>
      <c r="J49" s="177">
        <f>'[6]Payment - 10% down'!J50/('[6]Final income'!J50/12)</f>
        <v>0.1792584685658464</v>
      </c>
      <c r="K49" s="177">
        <f>'[6]Payment - 10% down'!K50/('[6]Final income'!K50/12)</f>
        <v>0.20059436008644874</v>
      </c>
      <c r="L49" s="177">
        <f>'[6]Payment - 10% down'!L50/('[6]Final income'!L50/12)</f>
        <v>0.22536559988513194</v>
      </c>
      <c r="M49" s="177">
        <f>'[6]Payment - 10% down'!M50/('[6]Final income'!M50/12)</f>
        <v>0.18302250276985749</v>
      </c>
      <c r="N49" s="177">
        <f>'[6]Payment - 10% down'!N50/('[6]Final income'!N50/12)</f>
        <v>0.1989631480689904</v>
      </c>
      <c r="O49" s="177">
        <f>'[6]Payment - 10% down'!O50/('[6]Final income'!O50/12)</f>
        <v>0.19609514563626876</v>
      </c>
      <c r="P49" s="177">
        <f>'[6]Payment - 10% down'!P50/('[6]Final income'!P50/12)</f>
        <v>0.19470616471786542</v>
      </c>
      <c r="Q49" s="177">
        <f>'[6]Payment - 10% down'!Q50/('[6]Final income'!Q50/12)</f>
        <v>0.19286508490893434</v>
      </c>
      <c r="R49" s="177">
        <f>'[6]Payment - 10% down'!R50/('[6]Final income'!R50/12)</f>
        <v>0.20082141462628644</v>
      </c>
      <c r="S49" s="177">
        <f>'[6]Payment - 10% down'!S50/('[6]Final income'!S50/12)</f>
        <v>0.19620253166570731</v>
      </c>
      <c r="T49" s="177">
        <f>'[6]Payment - 10% down'!T50/('[6]Final income'!T50/12)</f>
        <v>0.17658800626723367</v>
      </c>
      <c r="U49" s="177">
        <f>'[6]Payment - 10% down'!U50/('[6]Final income'!U50/12)</f>
        <v>0.16284723271046503</v>
      </c>
      <c r="V49" s="177">
        <f>'[6]Payment - 10% down'!V50/('[6]Final income'!V50/12)</f>
        <v>0.16231988283523963</v>
      </c>
      <c r="W49" s="177">
        <f>'[6]Payment - 10% down'!W50/('[6]Final income'!W50/12)</f>
        <v>0.14827739520260086</v>
      </c>
    </row>
    <row r="50" spans="1:23">
      <c r="A50" s="65" t="s">
        <v>151</v>
      </c>
      <c r="B50" s="177">
        <f>'[6]Payment - 10% down'!B51/('[6]Final income'!B51/12)</f>
        <v>0.22591278194161032</v>
      </c>
      <c r="C50" s="177">
        <f>'[6]Payment - 10% down'!C51/('[6]Final income'!C51/12)</f>
        <v>0.22091824122809126</v>
      </c>
      <c r="D50" s="177">
        <f>'[6]Payment - 10% down'!D51/('[6]Final income'!D51/12)</f>
        <v>0.20570108007998117</v>
      </c>
      <c r="E50" s="177">
        <f>'[6]Payment - 10% down'!E51/('[6]Final income'!E51/12)</f>
        <v>0.21445533180685403</v>
      </c>
      <c r="F50" s="177">
        <f>'[6]Payment - 10% down'!F51/('[6]Final income'!F51/12)</f>
        <v>0.23766408533549319</v>
      </c>
      <c r="G50" s="177">
        <f>'[6]Payment - 10% down'!G51/('[6]Final income'!G51/12)</f>
        <v>0.21119425146976367</v>
      </c>
      <c r="H50" s="177">
        <f>'[6]Payment - 10% down'!H51/('[6]Final income'!H51/12)</f>
        <v>0.21279525515570497</v>
      </c>
      <c r="I50" s="177">
        <f>'[6]Payment - 10% down'!I51/('[6]Final income'!I51/12)</f>
        <v>0.21742000876839015</v>
      </c>
      <c r="J50" s="177">
        <f>'[6]Payment - 10% down'!J51/('[6]Final income'!J51/12)</f>
        <v>0.20518795400324313</v>
      </c>
      <c r="K50" s="177">
        <f>'[6]Payment - 10% down'!K51/('[6]Final income'!K51/12)</f>
        <v>0.2077459237220442</v>
      </c>
      <c r="L50" s="177">
        <f>'[6]Payment - 10% down'!L51/('[6]Final income'!L51/12)</f>
        <v>0.24741903181905792</v>
      </c>
      <c r="M50" s="177">
        <f>'[6]Payment - 10% down'!M51/('[6]Final income'!M51/12)</f>
        <v>0.23511378353383608</v>
      </c>
      <c r="N50" s="177">
        <f>'[6]Payment - 10% down'!N51/('[6]Final income'!N51/12)</f>
        <v>0.24384049692421977</v>
      </c>
      <c r="O50" s="177">
        <f>'[6]Payment - 10% down'!O51/('[6]Final income'!O51/12)</f>
        <v>0.23921963639106858</v>
      </c>
      <c r="P50" s="177">
        <f>'[6]Payment - 10% down'!P51/('[6]Final income'!P51/12)</f>
        <v>0.25249607206070707</v>
      </c>
      <c r="Q50" s="177">
        <f>'[6]Payment - 10% down'!Q51/('[6]Final income'!Q51/12)</f>
        <v>0.26597052750016686</v>
      </c>
      <c r="R50" s="177">
        <f>'[6]Payment - 10% down'!R51/('[6]Final income'!R51/12)</f>
        <v>0.27317829312972297</v>
      </c>
      <c r="S50" s="177">
        <f>'[6]Payment - 10% down'!S51/('[6]Final income'!S51/12)</f>
        <v>0.26200022782398646</v>
      </c>
      <c r="T50" s="177">
        <f>'[6]Payment - 10% down'!T51/('[6]Final income'!T51/12)</f>
        <v>0.24280445422570782</v>
      </c>
      <c r="U50" s="177">
        <f>'[6]Payment - 10% down'!U51/('[6]Final income'!U51/12)</f>
        <v>0.21263177304796957</v>
      </c>
      <c r="V50" s="177">
        <f>'[6]Payment - 10% down'!V51/('[6]Final income'!V51/12)</f>
        <v>0.21648135325619997</v>
      </c>
      <c r="W50" s="177">
        <f>'[6]Payment - 10% down'!W51/('[6]Final income'!W51/12)</f>
        <v>0.20000633355583464</v>
      </c>
    </row>
    <row r="51" spans="1:23">
      <c r="A51" s="65" t="s">
        <v>152</v>
      </c>
      <c r="B51" s="177">
        <f>'[6]Payment - 10% down'!B52/('[6]Final income'!B52/12)</f>
        <v>0.27822342719637422</v>
      </c>
      <c r="C51" s="177">
        <f>'[6]Payment - 10% down'!C52/('[6]Final income'!C52/12)</f>
        <v>0.25725911546709285</v>
      </c>
      <c r="D51" s="177">
        <f>'[6]Payment - 10% down'!D52/('[6]Final income'!D52/12)</f>
        <v>0.24715650214316834</v>
      </c>
      <c r="E51" s="177">
        <f>'[6]Payment - 10% down'!E52/('[6]Final income'!E52/12)</f>
        <v>0.2207976278255733</v>
      </c>
      <c r="F51" s="177">
        <f>'[6]Payment - 10% down'!F52/('[6]Final income'!F52/12)</f>
        <v>0.21471861252553484</v>
      </c>
      <c r="G51" s="177">
        <f>'[6]Payment - 10% down'!G52/('[6]Final income'!G52/12)</f>
        <v>0.20416592507025022</v>
      </c>
      <c r="H51" s="177">
        <f>'[6]Payment - 10% down'!H52/('[6]Final income'!H52/12)</f>
        <v>0.21594972423643374</v>
      </c>
      <c r="I51" s="177">
        <f>'[6]Payment - 10% down'!I52/('[6]Final income'!I52/12)</f>
        <v>0.22905738753917115</v>
      </c>
      <c r="J51" s="177">
        <f>'[6]Payment - 10% down'!J52/('[6]Final income'!J52/12)</f>
        <v>0.20919290961609663</v>
      </c>
      <c r="K51" s="177">
        <f>'[6]Payment - 10% down'!K52/('[6]Final income'!K52/12)</f>
        <v>0.21042134080107611</v>
      </c>
      <c r="L51" s="177">
        <f>'[6]Payment - 10% down'!L52/('[6]Final income'!L52/12)</f>
        <v>0.22974620605588053</v>
      </c>
      <c r="M51" s="177">
        <f>'[6]Payment - 10% down'!M52/('[6]Final income'!M52/12)</f>
        <v>0.21999880226916316</v>
      </c>
      <c r="N51" s="177">
        <f>'[6]Payment - 10% down'!N52/('[6]Final income'!N52/12)</f>
        <v>0.2154953623675247</v>
      </c>
      <c r="O51" s="177">
        <f>'[6]Payment - 10% down'!O52/('[6]Final income'!O52/12)</f>
        <v>0.20472622932383092</v>
      </c>
      <c r="P51" s="177">
        <f>'[6]Payment - 10% down'!P52/('[6]Final income'!P52/12)</f>
        <v>0.21148594064322934</v>
      </c>
      <c r="Q51" s="177">
        <f>'[6]Payment - 10% down'!Q52/('[6]Final income'!Q52/12)</f>
        <v>0.22009665682047258</v>
      </c>
      <c r="R51" s="177">
        <f>'[6]Payment - 10% down'!R52/('[6]Final income'!R52/12)</f>
        <v>0.22784438694840445</v>
      </c>
      <c r="S51" s="177">
        <f>'[6]Payment - 10% down'!S52/('[6]Final income'!S52/12)</f>
        <v>0.20515237552242505</v>
      </c>
      <c r="T51" s="177">
        <f>'[6]Payment - 10% down'!T52/('[6]Final income'!T52/12)</f>
        <v>0.16548774693533611</v>
      </c>
      <c r="U51" s="177">
        <f>'[6]Payment - 10% down'!U52/('[6]Final income'!U52/12)</f>
        <v>0.15494415862569738</v>
      </c>
      <c r="V51" s="177">
        <f>'[6]Payment - 10% down'!V52/('[6]Final income'!V52/12)</f>
        <v>0.15129216096416376</v>
      </c>
      <c r="W51" s="177">
        <f>'[6]Payment - 10% down'!W52/('[6]Final income'!W52/12)</f>
        <v>0.13603970173731184</v>
      </c>
    </row>
    <row r="52" spans="1:23">
      <c r="A52" s="65" t="s">
        <v>153</v>
      </c>
      <c r="B52" s="177">
        <f>'[6]Payment - 10% down'!B53/('[6]Final income'!B53/12)</f>
        <v>0.28880649200289327</v>
      </c>
      <c r="C52" s="177">
        <f>'[6]Payment - 10% down'!C53/('[6]Final income'!C53/12)</f>
        <v>0.26863619044524339</v>
      </c>
      <c r="D52" s="177">
        <f>'[6]Payment - 10% down'!D53/('[6]Final income'!D53/12)</f>
        <v>0.25700083435560289</v>
      </c>
      <c r="E52" s="177">
        <f>'[6]Payment - 10% down'!E53/('[6]Final income'!E53/12)</f>
        <v>0.22895401259485257</v>
      </c>
      <c r="F52" s="177">
        <f>'[6]Payment - 10% down'!F53/('[6]Final income'!F53/12)</f>
        <v>0.25085845369589227</v>
      </c>
      <c r="G52" s="177">
        <f>'[6]Payment - 10% down'!G53/('[6]Final income'!G53/12)</f>
        <v>0.24418990795153106</v>
      </c>
      <c r="H52" s="177">
        <f>'[6]Payment - 10% down'!H53/('[6]Final income'!H53/12)</f>
        <v>0.24972838384683382</v>
      </c>
      <c r="I52" s="177">
        <f>'[6]Payment - 10% down'!I53/('[6]Final income'!I53/12)</f>
        <v>0.24697768272144285</v>
      </c>
      <c r="J52" s="177">
        <f>'[6]Payment - 10% down'!J53/('[6]Final income'!J53/12)</f>
        <v>0.22328048172617346</v>
      </c>
      <c r="K52" s="177">
        <f>'[6]Payment - 10% down'!K53/('[6]Final income'!K53/12)</f>
        <v>0.25066945914120164</v>
      </c>
      <c r="L52" s="177">
        <f>'[6]Payment - 10% down'!L53/('[6]Final income'!L53/12)</f>
        <v>0.28445756820452028</v>
      </c>
      <c r="M52" s="177">
        <f>'[6]Payment - 10% down'!M53/('[6]Final income'!M53/12)</f>
        <v>0.28430529443967228</v>
      </c>
      <c r="N52" s="177">
        <f>'[6]Payment - 10% down'!N53/('[6]Final income'!N53/12)</f>
        <v>0.33538805812170869</v>
      </c>
      <c r="O52" s="177">
        <f>'[6]Payment - 10% down'!O53/('[6]Final income'!O53/12)</f>
        <v>0.36597053982072897</v>
      </c>
      <c r="P52" s="177">
        <f>'[6]Payment - 10% down'!P53/('[6]Final income'!P53/12)</f>
        <v>0.44656019276265851</v>
      </c>
      <c r="Q52" s="177">
        <f>'[6]Payment - 10% down'!Q53/('[6]Final income'!Q53/12)</f>
        <v>0.55820315576964541</v>
      </c>
      <c r="R52" s="177">
        <f>'[6]Payment - 10% down'!R53/('[6]Final income'!R53/12)</f>
        <v>0.54613864312052829</v>
      </c>
      <c r="S52" s="177">
        <f>'[6]Payment - 10% down'!S53/('[6]Final income'!S53/12)</f>
        <v>0.5017803380832474</v>
      </c>
      <c r="T52" s="177">
        <f>'[6]Payment - 10% down'!T53/('[6]Final income'!T53/12)</f>
        <v>0.38254097075067062</v>
      </c>
      <c r="U52" s="177">
        <f>'[6]Payment - 10% down'!U53/('[6]Final income'!U53/12)</f>
        <v>0.26536926307311609</v>
      </c>
      <c r="V52" s="177">
        <f>'[6]Payment - 10% down'!V53/('[6]Final income'!V53/12)</f>
        <v>0.25141263687890569</v>
      </c>
      <c r="W52" s="177">
        <f>'[6]Payment - 10% down'!W53/('[6]Final income'!W53/12)</f>
        <v>0.21270095866428934</v>
      </c>
    </row>
    <row r="53" spans="1:23">
      <c r="A53" s="65" t="s">
        <v>154</v>
      </c>
      <c r="B53" s="177">
        <f>'[6]Payment - 10% down'!B54/('[6]Final income'!B54/12)</f>
        <v>0.24128660606036026</v>
      </c>
      <c r="C53" s="177">
        <f>'[6]Payment - 10% down'!C54/('[6]Final income'!C54/12)</f>
        <v>0.23748405080385276</v>
      </c>
      <c r="D53" s="177">
        <f>'[6]Payment - 10% down'!D54/('[6]Final income'!D54/12)</f>
        <v>0.22483984810693763</v>
      </c>
      <c r="E53" s="177">
        <f>'[6]Payment - 10% down'!E54/('[6]Final income'!E54/12)</f>
        <v>0.22945981202875543</v>
      </c>
      <c r="F53" s="177">
        <f>'[6]Payment - 10% down'!F54/('[6]Final income'!F54/12)</f>
        <v>0.24199000843919585</v>
      </c>
      <c r="G53" s="177">
        <f>'[6]Payment - 10% down'!G54/('[6]Final income'!G54/12)</f>
        <v>0.21218362761016274</v>
      </c>
      <c r="H53" s="177">
        <f>'[6]Payment - 10% down'!H54/('[6]Final income'!H54/12)</f>
        <v>0.22498941750205564</v>
      </c>
      <c r="I53" s="177">
        <f>'[6]Payment - 10% down'!I54/('[6]Final income'!I54/12)</f>
        <v>0.23469534640327855</v>
      </c>
      <c r="J53" s="177">
        <f>'[6]Payment - 10% down'!J54/('[6]Final income'!J54/12)</f>
        <v>0.22387283935313304</v>
      </c>
      <c r="K53" s="177">
        <f>'[6]Payment - 10% down'!K54/('[6]Final income'!K54/12)</f>
        <v>0.2199772669690078</v>
      </c>
      <c r="L53" s="177">
        <f>'[6]Payment - 10% down'!L54/('[6]Final income'!L54/12)</f>
        <v>0.24044648059541981</v>
      </c>
      <c r="M53" s="177">
        <f>'[6]Payment - 10% down'!M54/('[6]Final income'!M54/12)</f>
        <v>0.23443049795176188</v>
      </c>
      <c r="N53" s="177">
        <f>'[6]Payment - 10% down'!N54/('[6]Final income'!N54/12)</f>
        <v>0.25767415152058715</v>
      </c>
      <c r="O53" s="177">
        <f>'[6]Payment - 10% down'!O54/('[6]Final income'!O54/12)</f>
        <v>0.24930392583851416</v>
      </c>
      <c r="P53" s="177">
        <f>'[6]Payment - 10% down'!P54/('[6]Final income'!P54/12)</f>
        <v>0.26405000027319592</v>
      </c>
      <c r="Q53" s="177">
        <f>'[6]Payment - 10% down'!Q54/('[6]Final income'!Q54/12)</f>
        <v>0.27914688639613766</v>
      </c>
      <c r="R53" s="177">
        <f>'[6]Payment - 10% down'!R54/('[6]Final income'!R54/12)</f>
        <v>0.29565932924825378</v>
      </c>
      <c r="S53" s="177">
        <f>'[6]Payment - 10% down'!S54/('[6]Final income'!S54/12)</f>
        <v>0.28425154910437761</v>
      </c>
      <c r="T53" s="177">
        <f>'[6]Payment - 10% down'!T54/('[6]Final income'!T54/12)</f>
        <v>0.25043412394716874</v>
      </c>
      <c r="U53" s="177">
        <f>'[6]Payment - 10% down'!U54/('[6]Final income'!U54/12)</f>
        <v>0.21504957372094127</v>
      </c>
      <c r="V53" s="177">
        <f>'[6]Payment - 10% down'!V54/('[6]Final income'!V54/12)</f>
        <v>0.22585741838087067</v>
      </c>
      <c r="W53" s="177">
        <f>'[6]Payment - 10% down'!W54/('[6]Final income'!W54/12)</f>
        <v>0.19433496562008604</v>
      </c>
    </row>
    <row r="54" spans="1:23">
      <c r="A54" s="65" t="s">
        <v>155</v>
      </c>
      <c r="B54" s="177">
        <f>'[6]Payment - 10% down'!B55/('[6]Final income'!B55/12)</f>
        <v>0.22398744992814373</v>
      </c>
      <c r="C54" s="177">
        <f>'[6]Payment - 10% down'!C55/('[6]Final income'!C55/12)</f>
        <v>0.22849329382847933</v>
      </c>
      <c r="D54" s="177">
        <f>'[6]Payment - 10% down'!D55/('[6]Final income'!D55/12)</f>
        <v>0.20906318481289349</v>
      </c>
      <c r="E54" s="177">
        <f>'[6]Payment - 10% down'!E55/('[6]Final income'!E55/12)</f>
        <v>0.18191624414836929</v>
      </c>
      <c r="F54" s="177">
        <f>'[6]Payment - 10% down'!F55/('[6]Final income'!F55/12)</f>
        <v>0.20945413416283004</v>
      </c>
      <c r="G54" s="177">
        <f>'[6]Payment - 10% down'!G55/('[6]Final income'!G55/12)</f>
        <v>0.18729703624040153</v>
      </c>
      <c r="H54" s="177">
        <f>'[6]Payment - 10% down'!H55/('[6]Final income'!H55/12)</f>
        <v>0.18657454170091148</v>
      </c>
      <c r="I54" s="177">
        <f>'[6]Payment - 10% down'!I55/('[6]Final income'!I55/12)</f>
        <v>0.18235820438502778</v>
      </c>
      <c r="J54" s="177">
        <f>'[6]Payment - 10% down'!J55/('[6]Final income'!J55/12)</f>
        <v>0.16428798219473673</v>
      </c>
      <c r="K54" s="177">
        <f>'[6]Payment - 10% down'!K55/('[6]Final income'!K55/12)</f>
        <v>0.19115669781130717</v>
      </c>
      <c r="L54" s="177">
        <f>'[6]Payment - 10% down'!L55/('[6]Final income'!L55/12)</f>
        <v>0.21425266323664102</v>
      </c>
      <c r="M54" s="177">
        <f>'[6]Payment - 10% down'!M55/('[6]Final income'!M55/12)</f>
        <v>0.21192557822190489</v>
      </c>
      <c r="N54" s="177">
        <f>'[6]Payment - 10% down'!N55/('[6]Final income'!N55/12)</f>
        <v>0.22103145091899756</v>
      </c>
      <c r="O54" s="177">
        <f>'[6]Payment - 10% down'!O55/('[6]Final income'!O55/12)</f>
        <v>0.22170222525553382</v>
      </c>
      <c r="P54" s="177">
        <f>'[6]Payment - 10% down'!P55/('[6]Final income'!P55/12)</f>
        <v>0.23516865632349551</v>
      </c>
      <c r="Q54" s="177">
        <f>'[6]Payment - 10% down'!Q55/('[6]Final income'!Q55/12)</f>
        <v>0.24620179127418304</v>
      </c>
      <c r="R54" s="177">
        <f>'[6]Payment - 10% down'!R55/('[6]Final income'!R55/12)</f>
        <v>0.25410846219110017</v>
      </c>
      <c r="S54" s="177">
        <f>'[6]Payment - 10% down'!S55/('[6]Final income'!S55/12)</f>
        <v>0.23536559789456696</v>
      </c>
      <c r="T54" s="177">
        <f>'[6]Payment - 10% down'!T55/('[6]Final income'!T55/12)</f>
        <v>0.19563358237066819</v>
      </c>
      <c r="U54" s="177">
        <f>'[6]Payment - 10% down'!U55/('[6]Final income'!U55/12)</f>
        <v>0.16308676999444452</v>
      </c>
      <c r="V54" s="177">
        <f>'[6]Payment - 10% down'!V55/('[6]Final income'!V55/12)</f>
        <v>0.14980384395637952</v>
      </c>
      <c r="W54" s="177">
        <f>'[6]Payment - 10% down'!W55/('[6]Final income'!W55/12)</f>
        <v>0.12785565642297975</v>
      </c>
    </row>
    <row r="55" spans="1:23">
      <c r="A55" s="65" t="s">
        <v>156</v>
      </c>
      <c r="B55" s="177">
        <f>'[6]Payment - 10% down'!B56/('[6]Final income'!B56/12)</f>
        <v>0.26016408366425303</v>
      </c>
      <c r="C55" s="177">
        <f>'[6]Payment - 10% down'!C56/('[6]Final income'!C56/12)</f>
        <v>0.238798479520685</v>
      </c>
      <c r="D55" s="177">
        <f>'[6]Payment - 10% down'!D56/('[6]Final income'!D56/12)</f>
        <v>0.2303698733651012</v>
      </c>
      <c r="E55" s="177">
        <f>'[6]Payment - 10% down'!E56/('[6]Final income'!E56/12)</f>
        <v>0.20673695258622554</v>
      </c>
      <c r="F55" s="177">
        <f>'[6]Payment - 10% down'!F56/('[6]Final income'!F56/12)</f>
        <v>0.21709021578330975</v>
      </c>
      <c r="G55" s="177">
        <f>'[6]Payment - 10% down'!G56/('[6]Final income'!G56/12)</f>
        <v>0.22918657487014596</v>
      </c>
      <c r="H55" s="177">
        <f>'[6]Payment - 10% down'!H56/('[6]Final income'!H56/12)</f>
        <v>0.22786253624870875</v>
      </c>
      <c r="I55" s="177">
        <f>'[6]Payment - 10% down'!I56/('[6]Final income'!I56/12)</f>
        <v>0.23133223152330268</v>
      </c>
      <c r="J55" s="177">
        <f>'[6]Payment - 10% down'!J56/('[6]Final income'!J56/12)</f>
        <v>0.19987433968335377</v>
      </c>
      <c r="K55" s="177">
        <f>'[6]Payment - 10% down'!K56/('[6]Final income'!K56/12)</f>
        <v>0.19772857009010458</v>
      </c>
      <c r="L55" s="177">
        <f>'[6]Payment - 10% down'!L56/('[6]Final income'!L56/12)</f>
        <v>0.22483565881526943</v>
      </c>
      <c r="M55" s="177">
        <f>'[6]Payment - 10% down'!M56/('[6]Final income'!M56/12)</f>
        <v>0.21336836635116768</v>
      </c>
      <c r="N55" s="177" t="s">
        <v>25</v>
      </c>
      <c r="O55" s="177">
        <f>'[6]Payment - 10% down'!O56/('[6]Final income'!O56/12)</f>
        <v>0.19331904704329417</v>
      </c>
      <c r="P55" s="177">
        <f>'[6]Payment - 10% down'!P56/('[6]Final income'!P56/12)</f>
        <v>0.19547006547141743</v>
      </c>
      <c r="Q55" s="177">
        <f>'[6]Payment - 10% down'!Q56/('[6]Final income'!Q56/12)</f>
        <v>0.21763810488918983</v>
      </c>
      <c r="R55" s="177">
        <f>'[6]Payment - 10% down'!R56/('[6]Final income'!R56/12)</f>
        <v>0.23632704833728888</v>
      </c>
      <c r="S55" s="177">
        <f>'[6]Payment - 10% down'!S56/('[6]Final income'!S56/12)</f>
        <v>0.2433482496329179</v>
      </c>
      <c r="T55" s="177" t="s">
        <v>25</v>
      </c>
      <c r="U55" s="177" t="s">
        <v>25</v>
      </c>
      <c r="V55" s="177">
        <f>'[6]Payment - 10% down'!V56/('[6]Final income'!V56/12)</f>
        <v>0.16932035446325208</v>
      </c>
      <c r="W55" s="177">
        <f>'[6]Payment - 10% down'!W56/('[6]Final income'!W56/12)</f>
        <v>0.15878471915246714</v>
      </c>
    </row>
    <row r="56" spans="1:23">
      <c r="A56" s="65" t="s">
        <v>157</v>
      </c>
      <c r="B56" s="177">
        <f>'[6]Payment - 10% down'!B57/('[6]Final income'!B57/12)</f>
        <v>0.39962521817852398</v>
      </c>
      <c r="C56" s="177">
        <f>'[6]Payment - 10% down'!C57/('[6]Final income'!C57/12)</f>
        <v>0.33800854820395931</v>
      </c>
      <c r="D56" s="177">
        <f>'[6]Payment - 10% down'!D57/('[6]Final income'!D57/12)</f>
        <v>0.30841218365532441</v>
      </c>
      <c r="E56" s="177">
        <f>'[6]Payment - 10% down'!E57/('[6]Final income'!E57/12)</f>
        <v>0.28139671266600275</v>
      </c>
      <c r="F56" s="177">
        <f>'[6]Payment - 10% down'!F57/('[6]Final income'!F57/12)</f>
        <v>0.29207272854975169</v>
      </c>
      <c r="G56" s="177">
        <f>'[6]Payment - 10% down'!G57/('[6]Final income'!G57/12)</f>
        <v>0.27455991204061414</v>
      </c>
      <c r="H56" s="177">
        <f>'[6]Payment - 10% down'!H57/('[6]Final income'!H57/12)</f>
        <v>0.2540351065312037</v>
      </c>
      <c r="I56" s="177">
        <f>'[6]Payment - 10% down'!I57/('[6]Final income'!I57/12)</f>
        <v>0.23883070641040452</v>
      </c>
      <c r="J56" s="177">
        <f>'[6]Payment - 10% down'!J57/('[6]Final income'!J57/12)</f>
        <v>0.21510084651561739</v>
      </c>
      <c r="K56" s="177">
        <f>'[6]Payment - 10% down'!K57/('[6]Final income'!K57/12)</f>
        <v>0.22221503260976674</v>
      </c>
      <c r="L56" s="177">
        <f>'[6]Payment - 10% down'!L57/('[6]Final income'!L57/12)</f>
        <v>0.24083499174895964</v>
      </c>
      <c r="M56" s="177">
        <f>'[6]Payment - 10% down'!M57/('[6]Final income'!M57/12)</f>
        <v>0.23659503675899562</v>
      </c>
      <c r="N56" s="177">
        <f>'[6]Payment - 10% down'!N57/('[6]Final income'!N57/12)</f>
        <v>0.25541620729229991</v>
      </c>
      <c r="O56" s="177">
        <f>'[6]Payment - 10% down'!O57/('[6]Final income'!O57/12)</f>
        <v>0.27379784985907241</v>
      </c>
      <c r="P56" s="177">
        <f>'[6]Payment - 10% down'!P57/('[6]Final income'!P57/12)</f>
        <v>0.28264450100178329</v>
      </c>
      <c r="Q56" s="177">
        <f>'[6]Payment - 10% down'!Q57/('[6]Final income'!Q57/12)</f>
        <v>0.31255371921140218</v>
      </c>
      <c r="R56" s="177">
        <f>'[6]Payment - 10% down'!R57/('[6]Final income'!R57/12)</f>
        <v>0.33691225895823224</v>
      </c>
      <c r="S56" s="177">
        <f>'[6]Payment - 10% down'!S57/('[6]Final income'!S57/12)</f>
        <v>0.32397072176252345</v>
      </c>
      <c r="T56" s="177">
        <f>'[6]Payment - 10% down'!T57/('[6]Final income'!T57/12)</f>
        <v>0.27596141788341005</v>
      </c>
      <c r="U56" s="177">
        <f>'[6]Payment - 10% down'!U57/('[6]Final income'!U57/12)</f>
        <v>0.22370080174861454</v>
      </c>
      <c r="V56" s="177">
        <f>'[6]Payment - 10% down'!V57/('[6]Final income'!V57/12)</f>
        <v>0.22318081404919196</v>
      </c>
      <c r="W56" s="177">
        <f>'[6]Payment - 10% down'!W57/('[6]Final income'!W57/12)</f>
        <v>0.21093323268091338</v>
      </c>
    </row>
    <row r="57" spans="1:23">
      <c r="A57" s="65" t="s">
        <v>158</v>
      </c>
      <c r="B57" s="177">
        <f>'[6]Payment - 10% down'!B58/('[6]Final income'!B58/12)</f>
        <v>0.26577819026625038</v>
      </c>
      <c r="C57" s="177">
        <f>'[6]Payment - 10% down'!C58/('[6]Final income'!C58/12)</f>
        <v>0.23253632669807514</v>
      </c>
      <c r="D57" s="177">
        <f>'[6]Payment - 10% down'!D58/('[6]Final income'!D58/12)</f>
        <v>0.21966005990423831</v>
      </c>
      <c r="E57" s="177">
        <f>'[6]Payment - 10% down'!E58/('[6]Final income'!E58/12)</f>
        <v>0.19977254157873131</v>
      </c>
      <c r="F57" s="177">
        <f>'[6]Payment - 10% down'!F58/('[6]Final income'!F58/12)</f>
        <v>0.22782776295520618</v>
      </c>
      <c r="G57" s="177">
        <f>'[6]Payment - 10% down'!G58/('[6]Final income'!G58/12)</f>
        <v>0.20244177129040977</v>
      </c>
      <c r="H57" s="177">
        <f>'[6]Payment - 10% down'!H58/('[6]Final income'!H58/12)</f>
        <v>0.20676793894498413</v>
      </c>
      <c r="I57" s="177">
        <f>'[6]Payment - 10% down'!I58/('[6]Final income'!I58/12)</f>
        <v>0.1975891313446099</v>
      </c>
      <c r="J57" s="177">
        <f>'[6]Payment - 10% down'!J58/('[6]Final income'!J58/12)</f>
        <v>0.21106439504854457</v>
      </c>
      <c r="K57" s="177">
        <f>'[6]Payment - 10% down'!K58/('[6]Final income'!K58/12)</f>
        <v>0.22813402815037456</v>
      </c>
      <c r="L57" s="177">
        <f>'[6]Payment - 10% down'!L58/('[6]Final income'!L58/12)</f>
        <v>0.24782105043938532</v>
      </c>
      <c r="M57" s="177">
        <f>'[6]Payment - 10% down'!M58/('[6]Final income'!M58/12)</f>
        <v>0.23266036709639729</v>
      </c>
      <c r="N57" s="177">
        <f>'[6]Payment - 10% down'!N58/('[6]Final income'!N58/12)</f>
        <v>0.23160887391143034</v>
      </c>
      <c r="O57" s="177">
        <f>'[6]Payment - 10% down'!O58/('[6]Final income'!O58/12)</f>
        <v>0.22338914534078083</v>
      </c>
      <c r="P57" s="177">
        <f>'[6]Payment - 10% down'!P58/('[6]Final income'!P58/12)</f>
        <v>0.23033578359389437</v>
      </c>
      <c r="Q57" s="177">
        <f>'[6]Payment - 10% down'!Q58/('[6]Final income'!Q58/12)</f>
        <v>0.25446462570169426</v>
      </c>
      <c r="R57" s="177">
        <f>'[6]Payment - 10% down'!R58/('[6]Final income'!R58/12)</f>
        <v>0.25661240938544977</v>
      </c>
      <c r="S57" s="177">
        <f>'[6]Payment - 10% down'!S58/('[6]Final income'!S58/12)</f>
        <v>0.2282878870647643</v>
      </c>
      <c r="T57" s="177">
        <f>'[6]Payment - 10% down'!T58/('[6]Final income'!T58/12)</f>
        <v>0.21128247655965077</v>
      </c>
      <c r="U57" s="177">
        <f>'[6]Payment - 10% down'!U58/('[6]Final income'!U58/12)</f>
        <v>0.19723238649541058</v>
      </c>
      <c r="V57" s="177">
        <f>'[6]Payment - 10% down'!V58/('[6]Final income'!V58/12)</f>
        <v>0.19323260159207392</v>
      </c>
      <c r="W57" s="177">
        <f>'[6]Payment - 10% down'!W58/('[6]Final income'!W58/12)</f>
        <v>0.17653826322653185</v>
      </c>
    </row>
    <row r="58" spans="1:23">
      <c r="A58" s="65" t="s">
        <v>159</v>
      </c>
      <c r="B58" s="177">
        <f>'[6]Payment - 10% down'!B59/('[6]Final income'!B59/12)</f>
        <v>0.41474583313077834</v>
      </c>
      <c r="C58" s="177">
        <f>'[6]Payment - 10% down'!C59/('[6]Final income'!C59/12)</f>
        <v>0.37352825384337679</v>
      </c>
      <c r="D58" s="177">
        <f>'[6]Payment - 10% down'!D59/('[6]Final income'!D59/12)</f>
        <v>0.35107385092765253</v>
      </c>
      <c r="E58" s="177">
        <f>'[6]Payment - 10% down'!E59/('[6]Final income'!E59/12)</f>
        <v>0.3072770731238969</v>
      </c>
      <c r="F58" s="177">
        <f>'[6]Payment - 10% down'!F59/('[6]Final income'!F59/12)</f>
        <v>0.33178975894267398</v>
      </c>
      <c r="G58" s="177">
        <f>'[6]Payment - 10% down'!G59/('[6]Final income'!G59/12)</f>
        <v>0.29954451886312633</v>
      </c>
      <c r="H58" s="177">
        <f>'[6]Payment - 10% down'!H59/('[6]Final income'!H59/12)</f>
        <v>0.28468260158139624</v>
      </c>
      <c r="I58" s="177">
        <f>'[6]Payment - 10% down'!I59/('[6]Final income'!I59/12)</f>
        <v>0.27769242112252496</v>
      </c>
      <c r="J58" s="177">
        <f>'[6]Payment - 10% down'!J59/('[6]Final income'!J59/12)</f>
        <v>0.26243669608344555</v>
      </c>
      <c r="K58" s="177">
        <f>'[6]Payment - 10% down'!K59/('[6]Final income'!K59/12)</f>
        <v>0.2903494277627226</v>
      </c>
      <c r="L58" s="177">
        <f>'[6]Payment - 10% down'!L59/('[6]Final income'!L59/12)</f>
        <v>0.34523895923019915</v>
      </c>
      <c r="M58" s="177">
        <f>'[6]Payment - 10% down'!M59/('[6]Final income'!M59/12)</f>
        <v>0.33934786144246409</v>
      </c>
      <c r="N58" s="177">
        <f>'[6]Payment - 10% down'!N59/('[6]Final income'!N59/12)</f>
        <v>0.37695090966658107</v>
      </c>
      <c r="O58" s="177">
        <f>'[6]Payment - 10% down'!O59/('[6]Final income'!O59/12)</f>
        <v>0.39663449836230358</v>
      </c>
      <c r="P58" s="177">
        <f>'[6]Payment - 10% down'!P59/('[6]Final income'!P59/12)</f>
        <v>0.43467305993796396</v>
      </c>
      <c r="Q58" s="177">
        <f>'[6]Payment - 10% down'!Q59/('[6]Final income'!Q59/12)</f>
        <v>0.48821654464631781</v>
      </c>
      <c r="R58" s="177">
        <f>'[6]Payment - 10% down'!R59/('[6]Final income'!R59/12)</f>
        <v>0.5198714244917535</v>
      </c>
      <c r="S58" s="177">
        <f>'[6]Payment - 10% down'!S59/('[6]Final income'!S59/12)</f>
        <v>0.4931252960633567</v>
      </c>
      <c r="T58" s="177">
        <f>'[6]Payment - 10% down'!T59/('[6]Final income'!T59/12)</f>
        <v>0.42279867670852883</v>
      </c>
      <c r="U58" s="177">
        <f>'[6]Payment - 10% down'!U59/('[6]Final income'!U59/12)</f>
        <v>0.3400022455736974</v>
      </c>
      <c r="V58" s="177">
        <f>'[6]Payment - 10% down'!V59/('[6]Final income'!V59/12)</f>
        <v>0.340913694676932</v>
      </c>
      <c r="W58" s="177">
        <f>'[6]Payment - 10% down'!W59/('[6]Final income'!W59/12)</f>
        <v>0.31292605047006056</v>
      </c>
    </row>
    <row r="59" spans="1:23">
      <c r="A59" s="65" t="s">
        <v>160</v>
      </c>
      <c r="B59" s="177">
        <f>'[6]Payment - 10% down'!B60/('[6]Final income'!B60/12)</f>
        <v>0.27207644996658137</v>
      </c>
      <c r="C59" s="177">
        <f>'[6]Payment - 10% down'!C60/('[6]Final income'!C60/12)</f>
        <v>0.26043685783981091</v>
      </c>
      <c r="D59" s="177">
        <f>'[6]Payment - 10% down'!D60/('[6]Final income'!D60/12)</f>
        <v>0.25064258312212834</v>
      </c>
      <c r="E59" s="177">
        <f>'[6]Payment - 10% down'!E60/('[6]Final income'!E60/12)</f>
        <v>0.23505703702547606</v>
      </c>
      <c r="F59" s="177">
        <f>'[6]Payment - 10% down'!F60/('[6]Final income'!F60/12)</f>
        <v>0.26556827559660923</v>
      </c>
      <c r="G59" s="177">
        <f>'[6]Payment - 10% down'!G60/('[6]Final income'!G60/12)</f>
        <v>0.27450442352693111</v>
      </c>
      <c r="H59" s="177">
        <f>'[6]Payment - 10% down'!H60/('[6]Final income'!H60/12)</f>
        <v>0.2679775449411062</v>
      </c>
      <c r="I59" s="177">
        <f>'[6]Payment - 10% down'!I60/('[6]Final income'!I60/12)</f>
        <v>0.26082579459489635</v>
      </c>
      <c r="J59" s="177">
        <f>'[6]Payment - 10% down'!J60/('[6]Final income'!J60/12)</f>
        <v>0.23860166814271894</v>
      </c>
      <c r="K59" s="177">
        <f>'[6]Payment - 10% down'!K60/('[6]Final income'!K60/12)</f>
        <v>0.25735627002135963</v>
      </c>
      <c r="L59" s="177">
        <f>'[6]Payment - 10% down'!L60/('[6]Final income'!L60/12)</f>
        <v>0.29684369474582273</v>
      </c>
      <c r="M59" s="177">
        <f>'[6]Payment - 10% down'!M60/('[6]Final income'!M60/12)</f>
        <v>0.29476486224342896</v>
      </c>
      <c r="N59" s="177">
        <f>'[6]Payment - 10% down'!N60/('[6]Final income'!N60/12)</f>
        <v>0.32132227545158409</v>
      </c>
      <c r="O59" s="177">
        <f>'[6]Payment - 10% down'!O60/('[6]Final income'!O60/12)</f>
        <v>0.34148224849893638</v>
      </c>
      <c r="P59" s="177">
        <f>'[6]Payment - 10% down'!P60/('[6]Final income'!P60/12)</f>
        <v>0.40542939234683278</v>
      </c>
      <c r="Q59" s="177">
        <f>'[6]Payment - 10% down'!Q60/('[6]Final income'!Q60/12)</f>
        <v>0.50776668511147427</v>
      </c>
      <c r="R59" s="177">
        <f>'[6]Payment - 10% down'!R60/('[6]Final income'!R60/12)</f>
        <v>0.48351163492950533</v>
      </c>
      <c r="S59" s="177">
        <f>'[6]Payment - 10% down'!S60/('[6]Final income'!S60/12)</f>
        <v>0.40966812815143444</v>
      </c>
      <c r="T59" s="177">
        <f>'[6]Payment - 10% down'!T60/('[6]Final income'!T60/12)</f>
        <v>0.31340234423415875</v>
      </c>
      <c r="U59" s="177">
        <f>'[6]Payment - 10% down'!U60/('[6]Final income'!U60/12)</f>
        <v>0.21956320853001393</v>
      </c>
      <c r="V59" s="177">
        <f>'[6]Payment - 10% down'!V60/('[6]Final income'!V60/12)</f>
        <v>0.21087066813685199</v>
      </c>
      <c r="W59" s="177">
        <f>'[6]Payment - 10% down'!W60/('[6]Final income'!W60/12)</f>
        <v>0.18271521231029664</v>
      </c>
    </row>
    <row r="60" spans="1:23">
      <c r="A60" s="65" t="s">
        <v>161</v>
      </c>
      <c r="B60" s="177">
        <f>'[6]Payment - 10% down'!B61/('[6]Final income'!B61/12)</f>
        <v>0.18159342474300663</v>
      </c>
      <c r="C60" s="177">
        <f>'[6]Payment - 10% down'!C61/('[6]Final income'!C61/12)</f>
        <v>0.17423140516591967</v>
      </c>
      <c r="D60" s="177">
        <f>'[6]Payment - 10% down'!D61/('[6]Final income'!D61/12)</f>
        <v>0.17661980874402561</v>
      </c>
      <c r="E60" s="177">
        <f>'[6]Payment - 10% down'!E61/('[6]Final income'!E61/12)</f>
        <v>0.16193102145737337</v>
      </c>
      <c r="F60" s="177">
        <f>'[6]Payment - 10% down'!F61/('[6]Final income'!F61/12)</f>
        <v>0.18126525032067214</v>
      </c>
      <c r="G60" s="177">
        <f>'[6]Payment - 10% down'!G61/('[6]Final income'!G61/12)</f>
        <v>0.18840067045036329</v>
      </c>
      <c r="H60" s="177">
        <f>'[6]Payment - 10% down'!H61/('[6]Final income'!H61/12)</f>
        <v>0.1899992014393049</v>
      </c>
      <c r="I60" s="177">
        <f>'[6]Payment - 10% down'!I61/('[6]Final income'!I61/12)</f>
        <v>0.16840343035811983</v>
      </c>
      <c r="J60" s="177">
        <f>'[6]Payment - 10% down'!J61/('[6]Final income'!J61/12)</f>
        <v>0.15793234845130544</v>
      </c>
      <c r="K60" s="177">
        <f>'[6]Payment - 10% down'!K61/('[6]Final income'!K61/12)</f>
        <v>0.17037415443286891</v>
      </c>
      <c r="L60" s="177">
        <f>'[6]Payment - 10% down'!L61/('[6]Final income'!L61/12)</f>
        <v>0.17948832851637012</v>
      </c>
      <c r="M60" s="177">
        <f>'[6]Payment - 10% down'!M61/('[6]Final income'!M61/12)</f>
        <v>0.17126644470052479</v>
      </c>
      <c r="N60" s="177">
        <f>'[6]Payment - 10% down'!N61/('[6]Final income'!N61/12)</f>
        <v>0.16995378673119246</v>
      </c>
      <c r="O60" s="177">
        <f>'[6]Payment - 10% down'!O61/('[6]Final income'!O61/12)</f>
        <v>0.16776342448616391</v>
      </c>
      <c r="P60" s="177">
        <f>'[6]Payment - 10% down'!P61/('[6]Final income'!P61/12)</f>
        <v>0.17237412379136163</v>
      </c>
      <c r="Q60" s="177">
        <f>'[6]Payment - 10% down'!Q61/('[6]Final income'!Q61/12)</f>
        <v>0.18004694394769089</v>
      </c>
      <c r="R60" s="177">
        <f>'[6]Payment - 10% down'!R61/('[6]Final income'!R61/12)</f>
        <v>0.19683598971658334</v>
      </c>
      <c r="S60" s="177">
        <f>'[6]Payment - 10% down'!S61/('[6]Final income'!S61/12)</f>
        <v>0.19546112200747728</v>
      </c>
      <c r="T60" s="177">
        <f>'[6]Payment - 10% down'!T61/('[6]Final income'!T61/12)</f>
        <v>0.17673769630693159</v>
      </c>
      <c r="U60" s="177">
        <f>'[6]Payment - 10% down'!U61/('[6]Final income'!U61/12)</f>
        <v>0.17827066593929422</v>
      </c>
      <c r="V60" s="177">
        <f>'[6]Payment - 10% down'!V61/('[6]Final income'!V61/12)</f>
        <v>0.17176727631658431</v>
      </c>
      <c r="W60" s="177">
        <f>'[6]Payment - 10% down'!W61/('[6]Final income'!W61/12)</f>
        <v>0.11382629346920116</v>
      </c>
    </row>
    <row r="61" spans="1:23">
      <c r="A61" s="65" t="s">
        <v>162</v>
      </c>
      <c r="B61" s="177">
        <f>'[6]Payment - 10% down'!B62/('[6]Final income'!B62/12)</f>
        <v>0.19244046727275865</v>
      </c>
      <c r="C61" s="177">
        <f>'[6]Payment - 10% down'!C62/('[6]Final income'!C62/12)</f>
        <v>0.17556836010942742</v>
      </c>
      <c r="D61" s="177">
        <f>'[6]Payment - 10% down'!D62/('[6]Final income'!D62/12)</f>
        <v>0.16710346245075419</v>
      </c>
      <c r="E61" s="177">
        <f>'[6]Payment - 10% down'!E62/('[6]Final income'!E62/12)</f>
        <v>0.15151991527781905</v>
      </c>
      <c r="F61" s="177">
        <f>'[6]Payment - 10% down'!F62/('[6]Final income'!F62/12)</f>
        <v>0.16914535193039815</v>
      </c>
      <c r="G61" s="177">
        <f>'[6]Payment - 10% down'!G62/('[6]Final income'!G62/12)</f>
        <v>0.1700760880702647</v>
      </c>
      <c r="H61" s="177">
        <f>'[6]Payment - 10% down'!H62/('[6]Final income'!H62/12)</f>
        <v>0.1754360483705831</v>
      </c>
      <c r="I61" s="177">
        <f>'[6]Payment - 10% down'!I62/('[6]Final income'!I62/12)</f>
        <v>0.17827409823379106</v>
      </c>
      <c r="J61" s="177">
        <f>'[6]Payment - 10% down'!J62/('[6]Final income'!J62/12)</f>
        <v>0.17362772397609069</v>
      </c>
      <c r="K61" s="177">
        <f>'[6]Payment - 10% down'!K62/('[6]Final income'!K62/12)</f>
        <v>0.18350817080324616</v>
      </c>
      <c r="L61" s="177">
        <f>'[6]Payment - 10% down'!L62/('[6]Final income'!L62/12)</f>
        <v>0.2023261444505996</v>
      </c>
      <c r="M61" s="177">
        <f>'[6]Payment - 10% down'!M62/('[6]Final income'!M62/12)</f>
        <v>0.18394508014307337</v>
      </c>
      <c r="N61" s="177">
        <f>'[6]Payment - 10% down'!N62/('[6]Final income'!N62/12)</f>
        <v>0.18260192552888857</v>
      </c>
      <c r="O61" s="177">
        <f>'[6]Payment - 10% down'!O62/('[6]Final income'!O62/12)</f>
        <v>0.17088136380661165</v>
      </c>
      <c r="P61" s="177">
        <f>'[6]Payment - 10% down'!P62/('[6]Final income'!P62/12)</f>
        <v>0.17791176161768529</v>
      </c>
      <c r="Q61" s="177">
        <f>'[6]Payment - 10% down'!Q62/('[6]Final income'!Q62/12)</f>
        <v>0.17682948991044323</v>
      </c>
      <c r="R61" s="177">
        <f>'[6]Payment - 10% down'!R62/('[6]Final income'!R62/12)</f>
        <v>0.18348954096891132</v>
      </c>
      <c r="S61" s="177">
        <f>'[6]Payment - 10% down'!S62/('[6]Final income'!S62/12)</f>
        <v>0.17478316123491902</v>
      </c>
      <c r="T61" s="177">
        <f>'[6]Payment - 10% down'!T62/('[6]Final income'!T62/12)</f>
        <v>0.1570966624303187</v>
      </c>
      <c r="U61" s="177">
        <f>'[6]Payment - 10% down'!U62/('[6]Final income'!U62/12)</f>
        <v>0.14639124060466807</v>
      </c>
      <c r="V61" s="177">
        <f>'[6]Payment - 10% down'!V62/('[6]Final income'!V62/12)</f>
        <v>0.14266109949530861</v>
      </c>
      <c r="W61" s="177">
        <f>'[6]Payment - 10% down'!W62/('[6]Final income'!W62/12)</f>
        <v>0.13091299609777879</v>
      </c>
    </row>
    <row r="62" spans="1:23">
      <c r="A62" s="65" t="s">
        <v>163</v>
      </c>
      <c r="B62" s="177">
        <f>'[6]Payment - 10% down'!B63/('[6]Final income'!B63/12)</f>
        <v>0.25417451892960946</v>
      </c>
      <c r="C62" s="177">
        <f>'[6]Payment - 10% down'!C63/('[6]Final income'!C63/12)</f>
        <v>0.2414116444593819</v>
      </c>
      <c r="D62" s="177">
        <f>'[6]Payment - 10% down'!D63/('[6]Final income'!D63/12)</f>
        <v>0.22614595539862953</v>
      </c>
      <c r="E62" s="177">
        <f>'[6]Payment - 10% down'!E63/('[6]Final income'!E63/12)</f>
        <v>0.20138839228998606</v>
      </c>
      <c r="F62" s="177">
        <f>'[6]Payment - 10% down'!F63/('[6]Final income'!F63/12)</f>
        <v>0.21901409193679566</v>
      </c>
      <c r="G62" s="177">
        <f>'[6]Payment - 10% down'!G63/('[6]Final income'!G63/12)</f>
        <v>0.20299154686970439</v>
      </c>
      <c r="H62" s="177">
        <f>'[6]Payment - 10% down'!H63/('[6]Final income'!H63/12)</f>
        <v>0.20087314594882483</v>
      </c>
      <c r="I62" s="177">
        <f>'[6]Payment - 10% down'!I63/('[6]Final income'!I63/12)</f>
        <v>0.19037179424181985</v>
      </c>
      <c r="J62" s="177">
        <f>'[6]Payment - 10% down'!J63/('[6]Final income'!J63/12)</f>
        <v>0.17261123056305944</v>
      </c>
      <c r="K62" s="177">
        <f>'[6]Payment - 10% down'!K63/('[6]Final income'!K63/12)</f>
        <v>0.18843737686501652</v>
      </c>
      <c r="L62" s="177">
        <f>'[6]Payment - 10% down'!L63/('[6]Final income'!L63/12)</f>
        <v>0.20930367150903412</v>
      </c>
      <c r="M62" s="177">
        <f>'[6]Payment - 10% down'!M63/('[6]Final income'!M63/12)</f>
        <v>0.20746785230294557</v>
      </c>
      <c r="N62" s="177">
        <f>'[6]Payment - 10% down'!N63/('[6]Final income'!N63/12)</f>
        <v>0.21482615278475409</v>
      </c>
      <c r="O62" s="177">
        <f>'[6]Payment - 10% down'!O63/('[6]Final income'!O63/12)</f>
        <v>0.21397954865718274</v>
      </c>
      <c r="P62" s="177">
        <f>'[6]Payment - 10% down'!P63/('[6]Final income'!P63/12)</f>
        <v>0.24726718907576853</v>
      </c>
      <c r="Q62" s="177">
        <f>'[6]Payment - 10% down'!Q63/('[6]Final income'!Q63/12)</f>
        <v>0.33763409486267071</v>
      </c>
      <c r="R62" s="177">
        <f>'[6]Payment - 10% down'!R63/('[6]Final income'!R63/12)</f>
        <v>0.3779885903300102</v>
      </c>
      <c r="S62" s="177">
        <f>'[6]Payment - 10% down'!S63/('[6]Final income'!S63/12)</f>
        <v>0.3455557127252728</v>
      </c>
      <c r="T62" s="177">
        <f>'[6]Payment - 10% down'!T63/('[6]Final income'!T63/12)</f>
        <v>0.27103822874180922</v>
      </c>
      <c r="U62" s="177">
        <f>'[6]Payment - 10% down'!U63/('[6]Final income'!U63/12)</f>
        <v>0.1857988914721751</v>
      </c>
      <c r="V62" s="177">
        <f>'[6]Payment - 10% down'!V63/('[6]Final income'!V63/12)</f>
        <v>0.16156470746248239</v>
      </c>
      <c r="W62" s="177">
        <f>'[6]Payment - 10% down'!W63/('[6]Final income'!W63/12)</f>
        <v>0.14306719813354665</v>
      </c>
    </row>
    <row r="63" spans="1:23">
      <c r="A63" s="65" t="s">
        <v>164</v>
      </c>
      <c r="B63" s="177">
        <f>'[6]Payment - 10% down'!B64/('[6]Final income'!B64/12)</f>
        <v>0.21868200149291095</v>
      </c>
      <c r="C63" s="177">
        <f>'[6]Payment - 10% down'!C64/('[6]Final income'!C64/12)</f>
        <v>0.20689895835770344</v>
      </c>
      <c r="D63" s="177">
        <f>'[6]Payment - 10% down'!D64/('[6]Final income'!D64/12)</f>
        <v>0.19186915085065664</v>
      </c>
      <c r="E63" s="177">
        <f>'[6]Payment - 10% down'!E64/('[6]Final income'!E64/12)</f>
        <v>0.17366736276969699</v>
      </c>
      <c r="F63" s="177">
        <f>'[6]Payment - 10% down'!F64/('[6]Final income'!F64/12)</f>
        <v>0.19038680213560835</v>
      </c>
      <c r="G63" s="177">
        <f>'[6]Payment - 10% down'!G64/('[6]Final income'!G64/12)</f>
        <v>0.1842990180088159</v>
      </c>
      <c r="H63" s="177">
        <f>'[6]Payment - 10% down'!H64/('[6]Final income'!H64/12)</f>
        <v>0.1799895739723204</v>
      </c>
      <c r="I63" s="177">
        <f>'[6]Payment - 10% down'!I64/('[6]Final income'!I64/12)</f>
        <v>0.17435201246383428</v>
      </c>
      <c r="J63" s="177">
        <f>'[6]Payment - 10% down'!J64/('[6]Final income'!J64/12)</f>
        <v>0.16049633611337491</v>
      </c>
      <c r="K63" s="177">
        <f>'[6]Payment - 10% down'!K64/('[6]Final income'!K64/12)</f>
        <v>0.16273794239873929</v>
      </c>
      <c r="L63" s="177">
        <f>'[6]Payment - 10% down'!L64/('[6]Final income'!L64/12)</f>
        <v>0.18115748706728482</v>
      </c>
      <c r="M63" s="177">
        <f>'[6]Payment - 10% down'!M64/('[6]Final income'!M64/12)</f>
        <v>0.1629746287873097</v>
      </c>
      <c r="N63" s="177">
        <f>'[6]Payment - 10% down'!N64/('[6]Final income'!N64/12)</f>
        <v>0.17371625381543271</v>
      </c>
      <c r="O63" s="177">
        <f>'[6]Payment - 10% down'!O64/('[6]Final income'!O64/12)</f>
        <v>0.18577926061525341</v>
      </c>
      <c r="P63" s="177">
        <f>'[6]Payment - 10% down'!P64/('[6]Final income'!P64/12)</f>
        <v>0.21883281963580403</v>
      </c>
      <c r="Q63" s="177">
        <f>'[6]Payment - 10% down'!Q64/('[6]Final income'!Q64/12)</f>
        <v>0.28803626496024648</v>
      </c>
      <c r="R63" s="177">
        <f>'[6]Payment - 10% down'!R64/('[6]Final income'!R64/12)</f>
        <v>0.28837974584755044</v>
      </c>
      <c r="S63" s="177">
        <f>'[6]Payment - 10% down'!S64/('[6]Final income'!S64/12)</f>
        <v>0.2419357661863937</v>
      </c>
      <c r="T63" s="177">
        <f>'[6]Payment - 10% down'!T64/('[6]Final income'!T64/12)</f>
        <v>0.18937929279503488</v>
      </c>
      <c r="U63" s="177">
        <f>'[6]Payment - 10% down'!U64/('[6]Final income'!U64/12)</f>
        <v>0.13492305061054219</v>
      </c>
      <c r="V63" s="177">
        <f>'[6]Payment - 10% down'!V64/('[6]Final income'!V64/12)</f>
        <v>0.12598515412596509</v>
      </c>
      <c r="W63" s="177">
        <f>'[6]Payment - 10% down'!W64/('[6]Final income'!W64/12)</f>
        <v>0.12077504162485918</v>
      </c>
    </row>
    <row r="64" spans="1:23">
      <c r="A64" s="65" t="s">
        <v>165</v>
      </c>
      <c r="B64" s="177">
        <f>'[6]Payment - 10% down'!B65/('[6]Final income'!B65/12)</f>
        <v>0.28370461877113368</v>
      </c>
      <c r="C64" s="177">
        <f>'[6]Payment - 10% down'!C65/('[6]Final income'!C65/12)</f>
        <v>0.264014137322721</v>
      </c>
      <c r="D64" s="177">
        <f>'[6]Payment - 10% down'!D65/('[6]Final income'!D65/12)</f>
        <v>0.24864377723328232</v>
      </c>
      <c r="E64" s="177">
        <f>'[6]Payment - 10% down'!E65/('[6]Final income'!E65/12)</f>
        <v>0.21569248598511911</v>
      </c>
      <c r="F64" s="177">
        <f>'[6]Payment - 10% down'!F65/('[6]Final income'!F65/12)</f>
        <v>0.23485059317960752</v>
      </c>
      <c r="G64" s="177">
        <f>'[6]Payment - 10% down'!G65/('[6]Final income'!G65/12)</f>
        <v>0.2103861161641109</v>
      </c>
      <c r="H64" s="177" t="s">
        <v>25</v>
      </c>
      <c r="I64" s="177" t="s">
        <v>25</v>
      </c>
      <c r="J64" s="177">
        <f>'[6]Payment - 10% down'!J65/('[6]Final income'!J65/12)</f>
        <v>0.18228525539308257</v>
      </c>
      <c r="K64" s="177">
        <f>'[6]Payment - 10% down'!K65/('[6]Final income'!K65/12)</f>
        <v>0.18660467992351507</v>
      </c>
      <c r="L64" s="177">
        <f>'[6]Payment - 10% down'!L65/('[6]Final income'!L65/12)</f>
        <v>0.19350159724427224</v>
      </c>
      <c r="M64" s="177">
        <f>'[6]Payment - 10% down'!M65/('[6]Final income'!M65/12)</f>
        <v>0.18634511291291195</v>
      </c>
      <c r="N64" s="177">
        <f>'[6]Payment - 10% down'!N65/('[6]Final income'!N65/12)</f>
        <v>0.19447496355073349</v>
      </c>
      <c r="O64" s="177">
        <f>'[6]Payment - 10% down'!O65/('[6]Final income'!O65/12)</f>
        <v>0.20597797405149187</v>
      </c>
      <c r="P64" s="177">
        <f>'[6]Payment - 10% down'!P65/('[6]Final income'!P65/12)</f>
        <v>0.21988449125972742</v>
      </c>
      <c r="Q64" s="177">
        <f>'[6]Payment - 10% down'!Q65/('[6]Final income'!Q65/12)</f>
        <v>0.24680837575321113</v>
      </c>
      <c r="R64" s="177">
        <f>'[6]Payment - 10% down'!R65/('[6]Final income'!R65/12)</f>
        <v>0.27211536049238749</v>
      </c>
      <c r="S64" s="177">
        <f>'[6]Payment - 10% down'!S65/('[6]Final income'!S65/12)</f>
        <v>0.26336034237595995</v>
      </c>
      <c r="T64" s="177">
        <f>'[6]Payment - 10% down'!T65/('[6]Final income'!T65/12)</f>
        <v>0.23657278076439978</v>
      </c>
      <c r="U64" s="177">
        <f>'[6]Payment - 10% down'!U65/('[6]Final income'!U65/12)</f>
        <v>0.20430674467349708</v>
      </c>
      <c r="V64" s="177">
        <f>'[6]Payment - 10% down'!V65/('[6]Final income'!V65/12)</f>
        <v>0.20352570175496573</v>
      </c>
      <c r="W64" s="177">
        <f>'[6]Payment - 10% down'!W65/('[6]Final income'!W65/12)</f>
        <v>0.18289574616564144</v>
      </c>
    </row>
    <row r="65" spans="1:23">
      <c r="A65" s="65" t="s">
        <v>166</v>
      </c>
      <c r="B65" s="177">
        <f>'[6]Payment - 10% down'!B66/('[6]Final income'!B66/12)</f>
        <v>0.25453147555994199</v>
      </c>
      <c r="C65" s="177">
        <f>'[6]Payment - 10% down'!C66/('[6]Final income'!C66/12)</f>
        <v>0.22509905143271869</v>
      </c>
      <c r="D65" s="177">
        <f>'[6]Payment - 10% down'!D66/('[6]Final income'!D66/12)</f>
        <v>0.21803077105562105</v>
      </c>
      <c r="E65" s="177">
        <f>'[6]Payment - 10% down'!E66/('[6]Final income'!E66/12)</f>
        <v>0.19136930625208715</v>
      </c>
      <c r="F65" s="177">
        <f>'[6]Payment - 10% down'!F66/('[6]Final income'!F66/12)</f>
        <v>0.20966653858925591</v>
      </c>
      <c r="G65" s="177">
        <f>'[6]Payment - 10% down'!G66/('[6]Final income'!G66/12)</f>
        <v>0.21184584135721696</v>
      </c>
      <c r="H65" s="177">
        <f>'[6]Payment - 10% down'!H66/('[6]Final income'!H66/12)</f>
        <v>0.22080290175466105</v>
      </c>
      <c r="I65" s="177">
        <f>'[6]Payment - 10% down'!I66/('[6]Final income'!I66/12)</f>
        <v>0.2227008970735678</v>
      </c>
      <c r="J65" s="177">
        <f>'[6]Payment - 10% down'!J66/('[6]Final income'!J66/12)</f>
        <v>0.19291856388732098</v>
      </c>
      <c r="K65" s="177">
        <f>'[6]Payment - 10% down'!K66/('[6]Final income'!K66/12)</f>
        <v>0.21178568646970672</v>
      </c>
      <c r="L65" s="177">
        <f>'[6]Payment - 10% down'!L66/('[6]Final income'!L66/12)</f>
        <v>0.2377246306111773</v>
      </c>
      <c r="M65" s="177">
        <f>'[6]Payment - 10% down'!M66/('[6]Final income'!M66/12)</f>
        <v>0.22083023428909143</v>
      </c>
      <c r="N65" s="177">
        <f>'[6]Payment - 10% down'!N66/('[6]Final income'!N66/12)</f>
        <v>0.21730397122948469</v>
      </c>
      <c r="O65" s="177">
        <f>'[6]Payment - 10% down'!O66/('[6]Final income'!O66/12)</f>
        <v>0.21568717414878821</v>
      </c>
      <c r="P65" s="177">
        <f>'[6]Payment - 10% down'!P66/('[6]Final income'!P66/12)</f>
        <v>0.23260288860876691</v>
      </c>
      <c r="Q65" s="177">
        <f>'[6]Payment - 10% down'!Q66/('[6]Final income'!Q66/12)</f>
        <v>0.32127417868086533</v>
      </c>
      <c r="R65" s="177">
        <f>'[6]Payment - 10% down'!R66/('[6]Final income'!R66/12)</f>
        <v>0.3504684970047513</v>
      </c>
      <c r="S65" s="177">
        <f>'[6]Payment - 10% down'!S66/('[6]Final income'!S66/12)</f>
        <v>0.31621652334343142</v>
      </c>
      <c r="T65" s="177">
        <f>'[6]Payment - 10% down'!T66/('[6]Final income'!T66/12)</f>
        <v>0.22393497429763187</v>
      </c>
      <c r="U65" s="177">
        <f>'[6]Payment - 10% down'!U66/('[6]Final income'!U66/12)</f>
        <v>0.1495319906551188</v>
      </c>
      <c r="V65" s="177">
        <f>'[6]Payment - 10% down'!V66/('[6]Final income'!V66/12)</f>
        <v>0.15301440443886594</v>
      </c>
      <c r="W65" s="177">
        <f>'[6]Payment - 10% down'!W66/('[6]Final income'!W66/12)</f>
        <v>0.12490983497960552</v>
      </c>
    </row>
    <row r="66" spans="1:23">
      <c r="A66" s="65" t="s">
        <v>167</v>
      </c>
      <c r="B66" s="177">
        <f>'[6]Payment - 10% down'!B67/('[6]Final income'!B67/12)</f>
        <v>0.2479232047396849</v>
      </c>
      <c r="C66" s="177">
        <f>'[6]Payment - 10% down'!C67/('[6]Final income'!C67/12)</f>
        <v>0.22969906471327567</v>
      </c>
      <c r="D66" s="177">
        <f>'[6]Payment - 10% down'!D67/('[6]Final income'!D67/12)</f>
        <v>0.22895391142309668</v>
      </c>
      <c r="E66" s="177">
        <f>'[6]Payment - 10% down'!E67/('[6]Final income'!E67/12)</f>
        <v>0.20649943655012062</v>
      </c>
      <c r="F66" s="177">
        <f>'[6]Payment - 10% down'!F67/('[6]Final income'!F67/12)</f>
        <v>0.216873135997807</v>
      </c>
      <c r="G66" s="177">
        <f>'[6]Payment - 10% down'!G67/('[6]Final income'!G67/12)</f>
        <v>0.19439439685715351</v>
      </c>
      <c r="H66" s="177">
        <f>'[6]Payment - 10% down'!H67/('[6]Final income'!H67/12)</f>
        <v>0.19595267748988252</v>
      </c>
      <c r="I66" s="177">
        <f>'[6]Payment - 10% down'!I67/('[6]Final income'!I67/12)</f>
        <v>0.18192999372896382</v>
      </c>
      <c r="J66" s="177">
        <f>'[6]Payment - 10% down'!J67/('[6]Final income'!J67/12)</f>
        <v>0.16878230791799217</v>
      </c>
      <c r="K66" s="177">
        <f>'[6]Payment - 10% down'!K67/('[6]Final income'!K67/12)</f>
        <v>0.18156500736310482</v>
      </c>
      <c r="L66" s="177">
        <f>'[6]Payment - 10% down'!L67/('[6]Final income'!L67/12)</f>
        <v>0.19800819093147523</v>
      </c>
      <c r="M66" s="177">
        <f>'[6]Payment - 10% down'!M67/('[6]Final income'!M67/12)</f>
        <v>0.18430429392140996</v>
      </c>
      <c r="N66" s="177">
        <f>'[6]Payment - 10% down'!N67/('[6]Final income'!N67/12)</f>
        <v>0.18139699795298009</v>
      </c>
      <c r="O66" s="177">
        <f>'[6]Payment - 10% down'!O67/('[6]Final income'!O67/12)</f>
        <v>0.17422066507897763</v>
      </c>
      <c r="P66" s="177">
        <f>'[6]Payment - 10% down'!P67/('[6]Final income'!P67/12)</f>
        <v>0.17499889640338812</v>
      </c>
      <c r="Q66" s="177">
        <f>'[6]Payment - 10% down'!Q67/('[6]Final income'!Q67/12)</f>
        <v>0.17683708825358785</v>
      </c>
      <c r="R66" s="177">
        <f>'[6]Payment - 10% down'!R67/('[6]Final income'!R67/12)</f>
        <v>0.18071637113407127</v>
      </c>
      <c r="S66" s="177">
        <f>'[6]Payment - 10% down'!S67/('[6]Final income'!S67/12)</f>
        <v>0.17724888598313654</v>
      </c>
      <c r="T66" s="177">
        <f>'[6]Payment - 10% down'!T67/('[6]Final income'!T67/12)</f>
        <v>0.16051113682241516</v>
      </c>
      <c r="U66" s="177">
        <f>'[6]Payment - 10% down'!U67/('[6]Final income'!U67/12)</f>
        <v>0.14660496638341791</v>
      </c>
      <c r="V66" s="177">
        <f>'[6]Payment - 10% down'!V67/('[6]Final income'!V67/12)</f>
        <v>0.14622987796554923</v>
      </c>
      <c r="W66" s="177" t="s">
        <v>25</v>
      </c>
    </row>
    <row r="67" spans="1:23">
      <c r="A67" s="65" t="s">
        <v>168</v>
      </c>
      <c r="B67" s="177">
        <f>'[6]Payment - 10% down'!B68/('[6]Final income'!B68/12)</f>
        <v>0.231307005764121</v>
      </c>
      <c r="C67" s="177">
        <f>'[6]Payment - 10% down'!C68/('[6]Final income'!C68/12)</f>
        <v>0.23057677829629064</v>
      </c>
      <c r="D67" s="177">
        <f>'[6]Payment - 10% down'!D68/('[6]Final income'!D68/12)</f>
        <v>0.2212184400782341</v>
      </c>
      <c r="E67" s="177">
        <f>'[6]Payment - 10% down'!E68/('[6]Final income'!E68/12)</f>
        <v>0.20619861516973856</v>
      </c>
      <c r="F67" s="177">
        <f>'[6]Payment - 10% down'!F68/('[6]Final income'!F68/12)</f>
        <v>0.26558541537801222</v>
      </c>
      <c r="G67" s="177">
        <f>'[6]Payment - 10% down'!G68/('[6]Final income'!G68/12)</f>
        <v>0.24227015776164748</v>
      </c>
      <c r="H67" s="177">
        <f>'[6]Payment - 10% down'!H68/('[6]Final income'!H68/12)</f>
        <v>0.26820196576352656</v>
      </c>
      <c r="I67" s="177">
        <f>'[6]Payment - 10% down'!I68/('[6]Final income'!I68/12)</f>
        <v>0.2615002500164087</v>
      </c>
      <c r="J67" s="177">
        <f>'[6]Payment - 10% down'!J68/('[6]Final income'!J68/12)</f>
        <v>0.24074647718841855</v>
      </c>
      <c r="K67" s="177">
        <f>'[6]Payment - 10% down'!K68/('[6]Final income'!K68/12)</f>
        <v>0.25856339777640014</v>
      </c>
      <c r="L67" s="177">
        <f>'[6]Payment - 10% down'!L68/('[6]Final income'!L68/12)</f>
        <v>0.28321339081458652</v>
      </c>
      <c r="M67" s="177">
        <f>'[6]Payment - 10% down'!M68/('[6]Final income'!M68/12)</f>
        <v>0.25813927382680335</v>
      </c>
      <c r="N67" s="177">
        <f>'[6]Payment - 10% down'!N68/('[6]Final income'!N68/12)</f>
        <v>0.25941473343016092</v>
      </c>
      <c r="O67" s="177">
        <f>'[6]Payment - 10% down'!O68/('[6]Final income'!O68/12)</f>
        <v>0.25511926267245622</v>
      </c>
      <c r="P67" s="177">
        <f>'[6]Payment - 10% down'!P68/('[6]Final income'!P68/12)</f>
        <v>0.27148176697875492</v>
      </c>
      <c r="Q67" s="177">
        <f>'[6]Payment - 10% down'!Q68/('[6]Final income'!Q68/12)</f>
        <v>0.31388912184249462</v>
      </c>
      <c r="R67" s="177">
        <f>'[6]Payment - 10% down'!R68/('[6]Final income'!R68/12)</f>
        <v>0.36007254370754627</v>
      </c>
      <c r="S67" s="177">
        <f>'[6]Payment - 10% down'!S68/('[6]Final income'!S68/12)</f>
        <v>0.3568115582623641</v>
      </c>
      <c r="T67" s="177">
        <f>'[6]Payment - 10% down'!T68/('[6]Final income'!T68/12)</f>
        <v>0.31381020903352475</v>
      </c>
      <c r="U67" s="177">
        <f>'[6]Payment - 10% down'!U68/('[6]Final income'!U68/12)</f>
        <v>0.25443329341530896</v>
      </c>
      <c r="V67" s="177">
        <f>'[6]Payment - 10% down'!V68/('[6]Final income'!V68/12)</f>
        <v>0.24570163365556671</v>
      </c>
      <c r="W67" s="177">
        <f>'[6]Payment - 10% down'!W68/('[6]Final income'!W68/12)</f>
        <v>0.21667520452790445</v>
      </c>
    </row>
    <row r="68" spans="1:23">
      <c r="A68" s="65" t="s">
        <v>169</v>
      </c>
      <c r="B68" s="177">
        <f>'[6]Payment - 10% down'!B69/('[6]Final income'!B69/12)</f>
        <v>0.38783121762123768</v>
      </c>
      <c r="C68" s="177">
        <f>'[6]Payment - 10% down'!C69/('[6]Final income'!C69/12)</f>
        <v>0.36055028028038882</v>
      </c>
      <c r="D68" s="177">
        <f>'[6]Payment - 10% down'!D69/('[6]Final income'!D69/12)</f>
        <v>0.31933447059983905</v>
      </c>
      <c r="E68" s="177">
        <f>'[6]Payment - 10% down'!E69/('[6]Final income'!E69/12)</f>
        <v>0.26308789585420922</v>
      </c>
      <c r="F68" s="177">
        <f>'[6]Payment - 10% down'!F69/('[6]Final income'!F69/12)</f>
        <v>0.29201883256287381</v>
      </c>
      <c r="G68" s="177">
        <f>'[6]Payment - 10% down'!G69/('[6]Final income'!G69/12)</f>
        <v>0.26422392439250536</v>
      </c>
      <c r="H68" s="177">
        <f>'[6]Payment - 10% down'!H69/('[6]Final income'!H69/12)</f>
        <v>0.25661582231860275</v>
      </c>
      <c r="I68" s="177">
        <f>'[6]Payment - 10% down'!I69/('[6]Final income'!I69/12)</f>
        <v>0.25978595073288924</v>
      </c>
      <c r="J68" s="177">
        <f>'[6]Payment - 10% down'!J69/('[6]Final income'!J69/12)</f>
        <v>0.22784119669377775</v>
      </c>
      <c r="K68" s="177">
        <f>'[6]Payment - 10% down'!K69/('[6]Final income'!K69/12)</f>
        <v>0.23879867477316177</v>
      </c>
      <c r="L68" s="177">
        <f>'[6]Payment - 10% down'!L69/('[6]Final income'!L69/12)</f>
        <v>0.26279598111836466</v>
      </c>
      <c r="M68" s="177">
        <f>'[6]Payment - 10% down'!M69/('[6]Final income'!M69/12)</f>
        <v>0.26222932628916351</v>
      </c>
      <c r="N68" s="177">
        <f>'[6]Payment - 10% down'!N69/('[6]Final income'!N69/12)</f>
        <v>0.29889434470831983</v>
      </c>
      <c r="O68" s="177">
        <f>'[6]Payment - 10% down'!O69/('[6]Final income'!O69/12)</f>
        <v>0.31899571044350528</v>
      </c>
      <c r="P68" s="177">
        <f>'[6]Payment - 10% down'!P69/('[6]Final income'!P69/12)</f>
        <v>0.35848631926611735</v>
      </c>
      <c r="Q68" s="177">
        <f>'[6]Payment - 10% down'!Q69/('[6]Final income'!Q69/12)</f>
        <v>0.36420498740314372</v>
      </c>
      <c r="R68" s="177">
        <f>'[6]Payment - 10% down'!R69/('[6]Final income'!R69/12)</f>
        <v>0.37685060798030207</v>
      </c>
      <c r="S68" s="177">
        <f>'[6]Payment - 10% down'!S69/('[6]Final income'!S69/12)</f>
        <v>0.35393028868387294</v>
      </c>
      <c r="T68" s="177">
        <f>'[6]Payment - 10% down'!T69/('[6]Final income'!T69/12)</f>
        <v>0.28994438656228216</v>
      </c>
      <c r="U68" s="177">
        <f>'[6]Payment - 10% down'!U69/('[6]Final income'!U69/12)</f>
        <v>0.23130000878561033</v>
      </c>
      <c r="V68" s="177">
        <f>'[6]Payment - 10% down'!V69/('[6]Final income'!V69/12)</f>
        <v>0.23931749668026442</v>
      </c>
      <c r="W68" s="177">
        <f>'[6]Payment - 10% down'!W69/('[6]Final income'!W69/12)</f>
        <v>0.22157927037024014</v>
      </c>
    </row>
    <row r="69" spans="1:23">
      <c r="A69" s="65" t="s">
        <v>170</v>
      </c>
      <c r="B69" s="177">
        <f>'[6]Payment - 10% down'!B70/('[6]Final income'!B70/12)</f>
        <v>0.2761296463660099</v>
      </c>
      <c r="C69" s="177">
        <f>'[6]Payment - 10% down'!C70/('[6]Final income'!C70/12)</f>
        <v>0.23309487313714888</v>
      </c>
      <c r="D69" s="177">
        <f>'[6]Payment - 10% down'!D70/('[6]Final income'!D70/12)</f>
        <v>0.21462004546036995</v>
      </c>
      <c r="E69" s="177">
        <f>'[6]Payment - 10% down'!E70/('[6]Final income'!E70/12)</f>
        <v>0.18867350823599954</v>
      </c>
      <c r="F69" s="177">
        <f>'[6]Payment - 10% down'!F70/('[6]Final income'!F70/12)</f>
        <v>0.21227257516356351</v>
      </c>
      <c r="G69" s="177">
        <f>'[6]Payment - 10% down'!G70/('[6]Final income'!G70/12)</f>
        <v>0.20807120229376808</v>
      </c>
      <c r="H69" s="177">
        <f>'[6]Payment - 10% down'!H70/('[6]Final income'!H70/12)</f>
        <v>0.21049066094587079</v>
      </c>
      <c r="I69" s="177">
        <f>'[6]Payment - 10% down'!I70/('[6]Final income'!I70/12)</f>
        <v>0.21414335646473859</v>
      </c>
      <c r="J69" s="177">
        <f>'[6]Payment - 10% down'!J70/('[6]Final income'!J70/12)</f>
        <v>0.20925842463141645</v>
      </c>
      <c r="K69" s="177">
        <f>'[6]Payment - 10% down'!K70/('[6]Final income'!K70/12)</f>
        <v>0.22264246189998455</v>
      </c>
      <c r="L69" s="177">
        <f>'[6]Payment - 10% down'!L70/('[6]Final income'!L70/12)</f>
        <v>0.23620117148610797</v>
      </c>
      <c r="M69" s="177">
        <f>'[6]Payment - 10% down'!M70/('[6]Final income'!M70/12)</f>
        <v>0.21556221728639474</v>
      </c>
      <c r="N69" s="177">
        <f>'[6]Payment - 10% down'!N70/('[6]Final income'!N70/12)</f>
        <v>0.21606253771519399</v>
      </c>
      <c r="O69" s="177">
        <f>'[6]Payment - 10% down'!O70/('[6]Final income'!O70/12)</f>
        <v>0.20245852722530056</v>
      </c>
      <c r="P69" s="177">
        <f>'[6]Payment - 10% down'!P70/('[6]Final income'!P70/12)</f>
        <v>0.20657642650367278</v>
      </c>
      <c r="Q69" s="177">
        <f>'[6]Payment - 10% down'!Q70/('[6]Final income'!Q70/12)</f>
        <v>0.22938962394219461</v>
      </c>
      <c r="R69" s="177">
        <f>'[6]Payment - 10% down'!R70/('[6]Final income'!R70/12)</f>
        <v>0.25524601988155371</v>
      </c>
      <c r="S69" s="177">
        <f>'[6]Payment - 10% down'!S70/('[6]Final income'!S70/12)</f>
        <v>0.26293914321621698</v>
      </c>
      <c r="T69" s="177">
        <f>'[6]Payment - 10% down'!T70/('[6]Final income'!T70/12)</f>
        <v>0.23780679181654568</v>
      </c>
      <c r="U69" s="177">
        <f>'[6]Payment - 10% down'!U70/('[6]Final income'!U70/12)</f>
        <v>0.21678937348634372</v>
      </c>
      <c r="V69" s="177">
        <f>'[6]Payment - 10% down'!V70/('[6]Final income'!V70/12)</f>
        <v>0.21586734722155895</v>
      </c>
      <c r="W69" s="177">
        <f>'[6]Payment - 10% down'!W70/('[6]Final income'!W70/12)</f>
        <v>0.21327251906705838</v>
      </c>
    </row>
    <row r="70" spans="1:23">
      <c r="A70" s="65" t="s">
        <v>171</v>
      </c>
      <c r="B70" s="177">
        <f>'[6]Payment - 10% down'!B71/('[6]Final income'!B71/12)</f>
        <v>0.24339049789815428</v>
      </c>
      <c r="C70" s="177">
        <f>'[6]Payment - 10% down'!C71/('[6]Final income'!C71/12)</f>
        <v>0.22848980927581197</v>
      </c>
      <c r="D70" s="177">
        <f>'[6]Payment - 10% down'!D71/('[6]Final income'!D71/12)</f>
        <v>0.20366790141731883</v>
      </c>
      <c r="E70" s="177">
        <f>'[6]Payment - 10% down'!E71/('[6]Final income'!E71/12)</f>
        <v>0.18980716161335562</v>
      </c>
      <c r="F70" s="177">
        <f>'[6]Payment - 10% down'!F71/('[6]Final income'!F71/12)</f>
        <v>0.20582345176844449</v>
      </c>
      <c r="G70" s="177">
        <f>'[6]Payment - 10% down'!G71/('[6]Final income'!G71/12)</f>
        <v>0.21969523032282806</v>
      </c>
      <c r="H70" s="177">
        <f>'[6]Payment - 10% down'!H71/('[6]Final income'!H71/12)</f>
        <v>0.20984542441644649</v>
      </c>
      <c r="I70" s="177">
        <f>'[6]Payment - 10% down'!I71/('[6]Final income'!I71/12)</f>
        <v>0.1969590391698619</v>
      </c>
      <c r="J70" s="177">
        <f>'[6]Payment - 10% down'!J71/('[6]Final income'!J71/12)</f>
        <v>0.194855477848694</v>
      </c>
      <c r="K70" s="177">
        <f>'[6]Payment - 10% down'!K71/('[6]Final income'!K71/12)</f>
        <v>0.20718458118051594</v>
      </c>
      <c r="L70" s="177">
        <f>'[6]Payment - 10% down'!L71/('[6]Final income'!L71/12)</f>
        <v>0.22565776983002872</v>
      </c>
      <c r="M70" s="177">
        <f>'[6]Payment - 10% down'!M71/('[6]Final income'!M71/12)</f>
        <v>0.20794814329094796</v>
      </c>
      <c r="N70" s="177">
        <f>'[6]Payment - 10% down'!N71/('[6]Final income'!N71/12)</f>
        <v>0.20966298426798916</v>
      </c>
      <c r="O70" s="177">
        <f>'[6]Payment - 10% down'!O71/('[6]Final income'!O71/12)</f>
        <v>0.20720105346753087</v>
      </c>
      <c r="P70" s="177">
        <f>'[6]Payment - 10% down'!P71/('[6]Final income'!P71/12)</f>
        <v>0.22664933832915743</v>
      </c>
      <c r="Q70" s="177">
        <f>'[6]Payment - 10% down'!Q71/('[6]Final income'!Q71/12)</f>
        <v>0.26037115186382709</v>
      </c>
      <c r="R70" s="177">
        <f>'[6]Payment - 10% down'!R71/('[6]Final income'!R71/12)</f>
        <v>0.30176464015887355</v>
      </c>
      <c r="S70" s="177">
        <f>'[6]Payment - 10% down'!S71/('[6]Final income'!S71/12)</f>
        <v>0.29782726977972812</v>
      </c>
      <c r="T70" s="177">
        <f>'[6]Payment - 10% down'!T71/('[6]Final income'!T71/12)</f>
        <v>0.26593848420156568</v>
      </c>
      <c r="U70" s="177">
        <f>'[6]Payment - 10% down'!U71/('[6]Final income'!U71/12)</f>
        <v>0.23439995425906607</v>
      </c>
      <c r="V70" s="177">
        <f>'[6]Payment - 10% down'!V71/('[6]Final income'!V71/12)</f>
        <v>0.22418951868065837</v>
      </c>
      <c r="W70" s="177" t="s">
        <v>25</v>
      </c>
    </row>
    <row r="71" spans="1:23">
      <c r="A71" s="65" t="s">
        <v>172</v>
      </c>
      <c r="B71" s="177">
        <f>'[6]Payment - 10% down'!B72/('[6]Final income'!B72/12)</f>
        <v>0.37600295252945992</v>
      </c>
      <c r="C71" s="177">
        <f>'[6]Payment - 10% down'!C72/('[6]Final income'!C72/12)</f>
        <v>0.35458750639305514</v>
      </c>
      <c r="D71" s="177">
        <f>'[6]Payment - 10% down'!D72/('[6]Final income'!D72/12)</f>
        <v>0.319754575501218</v>
      </c>
      <c r="E71" s="177">
        <f>'[6]Payment - 10% down'!E72/('[6]Final income'!E72/12)</f>
        <v>0.29225398147869824</v>
      </c>
      <c r="F71" s="177">
        <f>'[6]Payment - 10% down'!F72/('[6]Final income'!F72/12)</f>
        <v>0.30082917152630351</v>
      </c>
      <c r="G71" s="177">
        <f>'[6]Payment - 10% down'!G72/('[6]Final income'!G72/12)</f>
        <v>0.25875674526265813</v>
      </c>
      <c r="H71" s="177">
        <f>'[6]Payment - 10% down'!H72/('[6]Final income'!H72/12)</f>
        <v>0.23234416347688885</v>
      </c>
      <c r="I71" s="177">
        <f>'[6]Payment - 10% down'!I72/('[6]Final income'!I72/12)</f>
        <v>0.22160009940488834</v>
      </c>
      <c r="J71" s="177">
        <f>'[6]Payment - 10% down'!J72/('[6]Final income'!J72/12)</f>
        <v>0.20731039959668507</v>
      </c>
      <c r="K71" s="177">
        <f>'[6]Payment - 10% down'!K72/('[6]Final income'!K72/12)</f>
        <v>0.22723054589966094</v>
      </c>
      <c r="L71" s="177">
        <f>'[6]Payment - 10% down'!L72/('[6]Final income'!L72/12)</f>
        <v>0.25597011041091677</v>
      </c>
      <c r="M71" s="177">
        <f>'[6]Payment - 10% down'!M72/('[6]Final income'!M72/12)</f>
        <v>0.25585407036532015</v>
      </c>
      <c r="N71" s="177">
        <f>'[6]Payment - 10% down'!N72/('[6]Final income'!N72/12)</f>
        <v>0.27124158909056284</v>
      </c>
      <c r="O71" s="177">
        <f>'[6]Payment - 10% down'!O72/('[6]Final income'!O72/12)</f>
        <v>0.3050748757503165</v>
      </c>
      <c r="P71" s="177">
        <f>'[6]Payment - 10% down'!P72/('[6]Final income'!P72/12)</f>
        <v>0.40094015338632227</v>
      </c>
      <c r="Q71" s="177">
        <f>'[6]Payment - 10% down'!Q72/('[6]Final income'!Q72/12)</f>
        <v>0.47276766763745709</v>
      </c>
      <c r="R71" s="177">
        <f>'[6]Payment - 10% down'!R72/('[6]Final income'!R72/12)</f>
        <v>0.51285007414511152</v>
      </c>
      <c r="S71" s="177">
        <f>'[6]Payment - 10% down'!S72/('[6]Final income'!S72/12)</f>
        <v>0.44509854378303615</v>
      </c>
      <c r="T71" s="177">
        <f>'[6]Payment - 10% down'!T72/('[6]Final income'!T72/12)</f>
        <v>0.27728515220374111</v>
      </c>
      <c r="U71" s="177">
        <f>'[6]Payment - 10% down'!U72/('[6]Final income'!U72/12)</f>
        <v>0.17961140726757749</v>
      </c>
      <c r="V71" s="177">
        <f>'[6]Payment - 10% down'!V72/('[6]Final income'!V72/12)</f>
        <v>0.18875958467678006</v>
      </c>
      <c r="W71" s="177">
        <f>'[6]Payment - 10% down'!W72/('[6]Final income'!W72/12)</f>
        <v>0.17337927347316667</v>
      </c>
    </row>
    <row r="72" spans="1:23">
      <c r="A72" s="65" t="s">
        <v>173</v>
      </c>
      <c r="B72" s="177">
        <f>'[6]Payment - 10% down'!B73/('[6]Final income'!B73/12)</f>
        <v>0.22054821991146625</v>
      </c>
      <c r="C72" s="177">
        <f>'[6]Payment - 10% down'!C73/('[6]Final income'!C73/12)</f>
        <v>0.2072821253273302</v>
      </c>
      <c r="D72" s="177">
        <f>'[6]Payment - 10% down'!D73/('[6]Final income'!D73/12)</f>
        <v>0.20485308210313621</v>
      </c>
      <c r="E72" s="177">
        <f>'[6]Payment - 10% down'!E73/('[6]Final income'!E73/12)</f>
        <v>0.18081209513301205</v>
      </c>
      <c r="F72" s="177">
        <f>'[6]Payment - 10% down'!F73/('[6]Final income'!F73/12)</f>
        <v>0.20123818737486068</v>
      </c>
      <c r="G72" s="177">
        <f>'[6]Payment - 10% down'!G73/('[6]Final income'!G73/12)</f>
        <v>0.18407727077737956</v>
      </c>
      <c r="H72" s="177">
        <f>'[6]Payment - 10% down'!H73/('[6]Final income'!H73/12)</f>
        <v>0.17116385150626379</v>
      </c>
      <c r="I72" s="177">
        <f>'[6]Payment - 10% down'!I73/('[6]Final income'!I73/12)</f>
        <v>0.16618826853747096</v>
      </c>
      <c r="J72" s="177">
        <f>'[6]Payment - 10% down'!J73/('[6]Final income'!J73/12)</f>
        <v>0.15115613480901471</v>
      </c>
      <c r="K72" s="177">
        <f>'[6]Payment - 10% down'!K73/('[6]Final income'!K73/12)</f>
        <v>0.14804584161571618</v>
      </c>
      <c r="L72" s="177">
        <f>'[6]Payment - 10% down'!L73/('[6]Final income'!L73/12)</f>
        <v>0.15345535476618749</v>
      </c>
      <c r="M72" s="177">
        <f>'[6]Payment - 10% down'!M73/('[6]Final income'!M73/12)</f>
        <v>0.14474700815399913</v>
      </c>
      <c r="N72" s="177">
        <f>'[6]Payment - 10% down'!N73/('[6]Final income'!N73/12)</f>
        <v>0.14006991900596266</v>
      </c>
      <c r="O72" s="177">
        <f>'[6]Payment - 10% down'!O73/('[6]Final income'!O73/12)</f>
        <v>0.13337070223386424</v>
      </c>
      <c r="P72" s="177">
        <f>'[6]Payment - 10% down'!P73/('[6]Final income'!P73/12)</f>
        <v>0.13809829064065618</v>
      </c>
      <c r="Q72" s="177">
        <f>'[6]Payment - 10% down'!Q73/('[6]Final income'!Q73/12)</f>
        <v>0.14660341214663658</v>
      </c>
      <c r="R72" s="177">
        <f>'[6]Payment - 10% down'!R73/('[6]Final income'!R73/12)</f>
        <v>0.15586322546916168</v>
      </c>
      <c r="S72" s="177">
        <f>'[6]Payment - 10% down'!S73/('[6]Final income'!S73/12)</f>
        <v>0.15835102886147362</v>
      </c>
      <c r="T72" s="177">
        <f>'[6]Payment - 10% down'!T73/('[6]Final income'!T73/12)</f>
        <v>0.1455303862601596</v>
      </c>
      <c r="U72" s="177">
        <f>'[6]Payment - 10% down'!U73/('[6]Final income'!U73/12)</f>
        <v>0.13266483320107822</v>
      </c>
      <c r="V72" s="177">
        <f>'[6]Payment - 10% down'!V73/('[6]Final income'!V73/12)</f>
        <v>0.13308299128913242</v>
      </c>
      <c r="W72" s="177">
        <f>'[6]Payment - 10% down'!W73/('[6]Final income'!W73/12)</f>
        <v>0.12796753366590488</v>
      </c>
    </row>
    <row r="73" spans="1:23">
      <c r="A73" s="65" t="s">
        <v>174</v>
      </c>
      <c r="B73" s="177">
        <f>'[6]Payment - 10% down'!B74/('[6]Final income'!B74/12)</f>
        <v>0.39001480148277667</v>
      </c>
      <c r="C73" s="177">
        <f>'[6]Payment - 10% down'!C74/('[6]Final income'!C74/12)</f>
        <v>0.3573502282211517</v>
      </c>
      <c r="D73" s="177">
        <f>'[6]Payment - 10% down'!D74/('[6]Final income'!D74/12)</f>
        <v>0.30821407274856222</v>
      </c>
      <c r="E73" s="177">
        <f>'[6]Payment - 10% down'!E74/('[6]Final income'!E74/12)</f>
        <v>0.27241024789450619</v>
      </c>
      <c r="F73" s="177">
        <f>'[6]Payment - 10% down'!F74/('[6]Final income'!F74/12)</f>
        <v>0.27827654766906035</v>
      </c>
      <c r="G73" s="177">
        <f>'[6]Payment - 10% down'!G74/('[6]Final income'!G74/12)</f>
        <v>0.24220469010056828</v>
      </c>
      <c r="H73" s="177">
        <f>'[6]Payment - 10% down'!H74/('[6]Final income'!H74/12)</f>
        <v>0.21783348922398874</v>
      </c>
      <c r="I73" s="177">
        <f>'[6]Payment - 10% down'!I74/('[6]Final income'!I74/12)</f>
        <v>0.20853142961595189</v>
      </c>
      <c r="J73" s="177">
        <f>'[6]Payment - 10% down'!J74/('[6]Final income'!J74/12)</f>
        <v>0.20567619391084932</v>
      </c>
      <c r="K73" s="177">
        <f>'[6]Payment - 10% down'!K74/('[6]Final income'!K74/12)</f>
        <v>0.21600804450221081</v>
      </c>
      <c r="L73" s="177">
        <f>'[6]Payment - 10% down'!L74/('[6]Final income'!L74/12)</f>
        <v>0.24375041010377124</v>
      </c>
      <c r="M73" s="177">
        <f>'[6]Payment - 10% down'!M74/('[6]Final income'!M74/12)</f>
        <v>0.25865283114977211</v>
      </c>
      <c r="N73" s="177">
        <f>'[6]Payment - 10% down'!N74/('[6]Final income'!N74/12)</f>
        <v>0.29121400500920425</v>
      </c>
      <c r="O73" s="177">
        <f>'[6]Payment - 10% down'!O74/('[6]Final income'!O74/12)</f>
        <v>0.31165107054192709</v>
      </c>
      <c r="P73" s="177">
        <f>'[6]Payment - 10% down'!P74/('[6]Final income'!P74/12)</f>
        <v>0.38463277292751819</v>
      </c>
      <c r="Q73" s="177">
        <f>'[6]Payment - 10% down'!Q74/('[6]Final income'!Q74/12)</f>
        <v>0.43896606831208052</v>
      </c>
      <c r="R73" s="177">
        <f>'[6]Payment - 10% down'!R74/('[6]Final income'!R74/12)</f>
        <v>0.44239289010720922</v>
      </c>
      <c r="S73" s="177">
        <f>'[6]Payment - 10% down'!S74/('[6]Final income'!S74/12)</f>
        <v>0.37859444433732065</v>
      </c>
      <c r="T73" s="177">
        <f>'[6]Payment - 10% down'!T74/('[6]Final income'!T74/12)</f>
        <v>0.23584733040899467</v>
      </c>
      <c r="U73" s="177">
        <f>'[6]Payment - 10% down'!U74/('[6]Final income'!U74/12)</f>
        <v>0.1796185979802444</v>
      </c>
      <c r="V73" s="177">
        <f>'[6]Payment - 10% down'!V74/('[6]Final income'!V74/12)</f>
        <v>0.18003840236450586</v>
      </c>
      <c r="W73" s="177">
        <f>'[6]Payment - 10% down'!W74/('[6]Final income'!W74/12)</f>
        <v>0.15579093902297086</v>
      </c>
    </row>
    <row r="74" spans="1:23">
      <c r="A74" s="65" t="s">
        <v>175</v>
      </c>
      <c r="B74" s="177">
        <f>'[6]Payment - 10% down'!B75/('[6]Final income'!B75/12)</f>
        <v>0.22039734004346645</v>
      </c>
      <c r="C74" s="177">
        <f>'[6]Payment - 10% down'!C75/('[6]Final income'!C75/12)</f>
        <v>0.22758460735171226</v>
      </c>
      <c r="D74" s="177">
        <f>'[6]Payment - 10% down'!D75/('[6]Final income'!D75/12)</f>
        <v>0.17973701770578721</v>
      </c>
      <c r="E74" s="177">
        <f>'[6]Payment - 10% down'!E75/('[6]Final income'!E75/12)</f>
        <v>0.16958294459889897</v>
      </c>
      <c r="F74" s="177">
        <f>'[6]Payment - 10% down'!F75/('[6]Final income'!F75/12)</f>
        <v>0.21760661039983886</v>
      </c>
      <c r="G74" s="177">
        <f>'[6]Payment - 10% down'!G75/('[6]Final income'!G75/12)</f>
        <v>0.23159459252067335</v>
      </c>
      <c r="H74" s="177">
        <f>'[6]Payment - 10% down'!H75/('[6]Final income'!H75/12)</f>
        <v>0.24347806134133856</v>
      </c>
      <c r="I74" s="177">
        <f>'[6]Payment - 10% down'!I75/('[6]Final income'!I75/12)</f>
        <v>0.21493305246029024</v>
      </c>
      <c r="J74" s="177">
        <f>'[6]Payment - 10% down'!J75/('[6]Final income'!J75/12)</f>
        <v>0.20028864905001112</v>
      </c>
      <c r="K74" s="177">
        <f>'[6]Payment - 10% down'!K75/('[6]Final income'!K75/12)</f>
        <v>0.21185149594943062</v>
      </c>
      <c r="L74" s="177">
        <f>'[6]Payment - 10% down'!L75/('[6]Final income'!L75/12)</f>
        <v>0.22963029888922215</v>
      </c>
      <c r="M74" s="177">
        <f>'[6]Payment - 10% down'!M75/('[6]Final income'!M75/12)</f>
        <v>0.21467759055693045</v>
      </c>
      <c r="N74" s="177">
        <f>'[6]Payment - 10% down'!N75/('[6]Final income'!N75/12)</f>
        <v>0.20610786001532766</v>
      </c>
      <c r="O74" s="177">
        <f>'[6]Payment - 10% down'!O75/('[6]Final income'!O75/12)</f>
        <v>0.19192523624594696</v>
      </c>
      <c r="P74" s="177">
        <f>'[6]Payment - 10% down'!P75/('[6]Final income'!P75/12)</f>
        <v>0.20158689347516012</v>
      </c>
      <c r="Q74" s="177">
        <f>'[6]Payment - 10% down'!Q75/('[6]Final income'!Q75/12)</f>
        <v>0.21911791726752339</v>
      </c>
      <c r="R74" s="177">
        <f>'[6]Payment - 10% down'!R75/('[6]Final income'!R75/12)</f>
        <v>0.25667982154276781</v>
      </c>
      <c r="S74" s="177">
        <f>'[6]Payment - 10% down'!S75/('[6]Final income'!S75/12)</f>
        <v>0.27061919718488664</v>
      </c>
      <c r="T74" s="177">
        <f>'[6]Payment - 10% down'!T75/('[6]Final income'!T75/12)</f>
        <v>0.25043153106517252</v>
      </c>
      <c r="U74" s="177">
        <f>'[6]Payment - 10% down'!U75/('[6]Final income'!U75/12)</f>
        <v>0.22117810660498105</v>
      </c>
      <c r="V74" s="177">
        <f>'[6]Payment - 10% down'!V75/('[6]Final income'!V75/12)</f>
        <v>0.20233901451234265</v>
      </c>
      <c r="W74" s="177">
        <f>'[6]Payment - 10% down'!W75/('[6]Final income'!W75/12)</f>
        <v>0.17199884749670949</v>
      </c>
    </row>
    <row r="75" spans="1:23">
      <c r="A75" s="65" t="s">
        <v>176</v>
      </c>
      <c r="B75" s="177">
        <f>'[6]Payment - 10% down'!B76/('[6]Final income'!B76/12)</f>
        <v>0.21679495034820406</v>
      </c>
      <c r="C75" s="177">
        <f>'[6]Payment - 10% down'!C76/('[6]Final income'!C76/12)</f>
        <v>0.20643989189028211</v>
      </c>
      <c r="D75" s="177">
        <f>'[6]Payment - 10% down'!D76/('[6]Final income'!D76/12)</f>
        <v>0.20463873956300127</v>
      </c>
      <c r="E75" s="177">
        <f>'[6]Payment - 10% down'!E76/('[6]Final income'!E76/12)</f>
        <v>0.19473026846411781</v>
      </c>
      <c r="F75" s="177">
        <f>'[6]Payment - 10% down'!F76/('[6]Final income'!F76/12)</f>
        <v>0.20419782253424207</v>
      </c>
      <c r="G75" s="177">
        <f>'[6]Payment - 10% down'!G76/('[6]Final income'!G76/12)</f>
        <v>0.19259852972998734</v>
      </c>
      <c r="H75" s="177">
        <f>'[6]Payment - 10% down'!H76/('[6]Final income'!H76/12)</f>
        <v>0.19397340198165769</v>
      </c>
      <c r="I75" s="177">
        <f>'[6]Payment - 10% down'!I76/('[6]Final income'!I76/12)</f>
        <v>0.18298079575560522</v>
      </c>
      <c r="J75" s="177">
        <f>'[6]Payment - 10% down'!J76/('[6]Final income'!J76/12)</f>
        <v>0.17107512969222002</v>
      </c>
      <c r="K75" s="177">
        <f>'[6]Payment - 10% down'!K76/('[6]Final income'!K76/12)</f>
        <v>0.17468273305304932</v>
      </c>
      <c r="L75" s="177">
        <f>'[6]Payment - 10% down'!L76/('[6]Final income'!L76/12)</f>
        <v>0.19241326954401916</v>
      </c>
      <c r="M75" s="177">
        <f>'[6]Payment - 10% down'!M76/('[6]Final income'!M76/12)</f>
        <v>0.18378897143162851</v>
      </c>
      <c r="N75" s="177">
        <f>'[6]Payment - 10% down'!N76/('[6]Final income'!N76/12)</f>
        <v>0.18390767259370425</v>
      </c>
      <c r="O75" s="177">
        <f>'[6]Payment - 10% down'!O76/('[6]Final income'!O76/12)</f>
        <v>0.18616192608786955</v>
      </c>
      <c r="P75" s="177">
        <f>'[6]Payment - 10% down'!P76/('[6]Final income'!P76/12)</f>
        <v>0.18956688576727132</v>
      </c>
      <c r="Q75" s="177">
        <f>'[6]Payment - 10% down'!Q76/('[6]Final income'!Q76/12)</f>
        <v>0.20348574193988239</v>
      </c>
      <c r="R75" s="177">
        <f>'[6]Payment - 10% down'!R76/('[6]Final income'!R76/12)</f>
        <v>0.21407478391025814</v>
      </c>
      <c r="S75" s="177">
        <f>'[6]Payment - 10% down'!S76/('[6]Final income'!S76/12)</f>
        <v>0.21799120181104867</v>
      </c>
      <c r="T75" s="177">
        <f>'[6]Payment - 10% down'!T76/('[6]Final income'!T76/12)</f>
        <v>0.20208583542907932</v>
      </c>
      <c r="U75" s="177">
        <f>'[6]Payment - 10% down'!U76/('[6]Final income'!U76/12)</f>
        <v>0.18520642407813576</v>
      </c>
      <c r="V75" s="177">
        <f>'[6]Payment - 10% down'!V76/('[6]Final income'!V76/12)</f>
        <v>0.17623861285751122</v>
      </c>
      <c r="W75" s="177">
        <f>'[6]Payment - 10% down'!W76/('[6]Final income'!W76/12)</f>
        <v>0.16607349352206158</v>
      </c>
    </row>
    <row r="76" spans="1:23">
      <c r="A76" s="65" t="s">
        <v>177</v>
      </c>
      <c r="B76" s="177">
        <f>'[6]Payment - 10% down'!B77/('[6]Final income'!B77/12)</f>
        <v>0.4909829951776003</v>
      </c>
      <c r="C76" s="177">
        <f>'[6]Payment - 10% down'!C77/('[6]Final income'!C77/12)</f>
        <v>0.45761073848693995</v>
      </c>
      <c r="D76" s="177">
        <f>'[6]Payment - 10% down'!D77/('[6]Final income'!D77/12)</f>
        <v>0.39854160851465126</v>
      </c>
      <c r="E76" s="177">
        <f>'[6]Payment - 10% down'!E77/('[6]Final income'!E77/12)</f>
        <v>0.35431360559421721</v>
      </c>
      <c r="F76" s="177">
        <f>'[6]Payment - 10% down'!F77/('[6]Final income'!F77/12)</f>
        <v>0.37451958232738464</v>
      </c>
      <c r="G76" s="177">
        <f>'[6]Payment - 10% down'!G77/('[6]Final income'!G77/12)</f>
        <v>0.33391436393478219</v>
      </c>
      <c r="H76" s="177">
        <f>'[6]Payment - 10% down'!H77/('[6]Final income'!H77/12)</f>
        <v>0.31905643042886211</v>
      </c>
      <c r="I76" s="177">
        <f>'[6]Payment - 10% down'!I77/('[6]Final income'!I77/12)</f>
        <v>0.32294431867623197</v>
      </c>
      <c r="J76" s="177">
        <f>'[6]Payment - 10% down'!J77/('[6]Final income'!J77/12)</f>
        <v>0.32570744618561648</v>
      </c>
      <c r="K76" s="177">
        <f>'[6]Payment - 10% down'!K77/('[6]Final income'!K77/12)</f>
        <v>0.36808651868529119</v>
      </c>
      <c r="L76" s="177">
        <f>'[6]Payment - 10% down'!L77/('[6]Final income'!L77/12)</f>
        <v>0.44502225603082213</v>
      </c>
      <c r="M76" s="177">
        <f>'[6]Payment - 10% down'!M77/('[6]Final income'!M77/12)</f>
        <v>0.43343858455340806</v>
      </c>
      <c r="N76" s="177">
        <f>'[6]Payment - 10% down'!N77/('[6]Final income'!N77/12)</f>
        <v>0.49023704958460856</v>
      </c>
      <c r="O76" s="177">
        <f>'[6]Payment - 10% down'!O77/('[6]Final income'!O77/12)</f>
        <v>0.52304374380371066</v>
      </c>
      <c r="P76" s="177">
        <f>'[6]Payment - 10% down'!P77/('[6]Final income'!P77/12)</f>
        <v>0.65620484966393178</v>
      </c>
      <c r="Q76" s="177">
        <f>'[6]Payment - 10% down'!Q77/('[6]Final income'!Q77/12)</f>
        <v>0.68486302508281782</v>
      </c>
      <c r="R76" s="177">
        <f>'[6]Payment - 10% down'!R77/('[6]Final income'!R77/12)</f>
        <v>0.68097666440955051</v>
      </c>
      <c r="S76" s="177">
        <f>'[6]Payment - 10% down'!S77/('[6]Final income'!S77/12)</f>
        <v>0.6213479987199636</v>
      </c>
      <c r="T76" s="177">
        <f>'[6]Payment - 10% down'!T77/('[6]Final income'!T77/12)</f>
        <v>0.4187535348684609</v>
      </c>
      <c r="U76" s="177">
        <f>'[6]Payment - 10% down'!U77/('[6]Final income'!U77/12)</f>
        <v>0.34292279373361029</v>
      </c>
      <c r="V76" s="177">
        <f>'[6]Payment - 10% down'!V77/('[6]Final income'!V77/12)</f>
        <v>0.3615941878256872</v>
      </c>
      <c r="W76" s="177">
        <f>'[6]Payment - 10% down'!W77/('[6]Final income'!W77/12)</f>
        <v>0.3312262093575899</v>
      </c>
    </row>
    <row r="77" spans="1:23">
      <c r="A77" s="65" t="s">
        <v>178</v>
      </c>
      <c r="B77" s="177">
        <f>'[6]Payment - 10% down'!B78/('[6]Final income'!B78/12)</f>
        <v>0.58887182587208198</v>
      </c>
      <c r="C77" s="177">
        <f>'[6]Payment - 10% down'!C78/('[6]Final income'!C78/12)</f>
        <v>0.52797455205809374</v>
      </c>
      <c r="D77" s="177">
        <f>'[6]Payment - 10% down'!D78/('[6]Final income'!D78/12)</f>
        <v>0.4528956901823033</v>
      </c>
      <c r="E77" s="177">
        <f>'[6]Payment - 10% down'!E78/('[6]Final income'!E78/12)</f>
        <v>0.40247748413676998</v>
      </c>
      <c r="F77" s="177">
        <f>'[6]Payment - 10% down'!F78/('[6]Final income'!F78/12)</f>
        <v>0.42958598654178043</v>
      </c>
      <c r="G77" s="177">
        <f>'[6]Payment - 10% down'!G78/('[6]Final income'!G78/12)</f>
        <v>0.38527337448217014</v>
      </c>
      <c r="H77" s="177">
        <f>'[6]Payment - 10% down'!H78/('[6]Final income'!H78/12)</f>
        <v>0.37529630064241726</v>
      </c>
      <c r="I77" s="177">
        <f>'[6]Payment - 10% down'!I78/('[6]Final income'!I78/12)</f>
        <v>0.38582813392823989</v>
      </c>
      <c r="J77" s="177">
        <f>'[6]Payment - 10% down'!J78/('[6]Final income'!J78/12)</f>
        <v>0.38852168794379693</v>
      </c>
      <c r="K77" s="177">
        <f>'[6]Payment - 10% down'!K78/('[6]Final income'!K78/12)</f>
        <v>0.44119127011711468</v>
      </c>
      <c r="L77" s="177">
        <f>'[6]Payment - 10% down'!L78/('[6]Final income'!L78/12)</f>
        <v>0.58258105006508321</v>
      </c>
      <c r="M77" s="177">
        <f>'[6]Payment - 10% down'!M78/('[6]Final income'!M78/12)</f>
        <v>0.54067545099098391</v>
      </c>
      <c r="N77" s="177">
        <f>'[6]Payment - 10% down'!N78/('[6]Final income'!N78/12)</f>
        <v>0.55316028541060447</v>
      </c>
      <c r="O77" s="177">
        <f>'[6]Payment - 10% down'!O78/('[6]Final income'!O78/12)</f>
        <v>0.54591684079740321</v>
      </c>
      <c r="P77" s="177">
        <f>'[6]Payment - 10% down'!P78/('[6]Final income'!P78/12)</f>
        <v>0.62794958089307862</v>
      </c>
      <c r="Q77" s="177">
        <f>'[6]Payment - 10% down'!Q78/('[6]Final income'!Q78/12)</f>
        <v>0.68392588959650402</v>
      </c>
      <c r="R77" s="177">
        <f>'[6]Payment - 10% down'!R78/('[6]Final income'!R78/12)</f>
        <v>0.72958391834373559</v>
      </c>
      <c r="S77" s="177">
        <f>'[6]Payment - 10% down'!S78/('[6]Final income'!S78/12)</f>
        <v>0.72480529540118999</v>
      </c>
      <c r="T77" s="177">
        <f>'[6]Payment - 10% down'!T78/('[6]Final income'!T78/12)</f>
        <v>0.53180394683074628</v>
      </c>
      <c r="U77" s="177">
        <f>'[6]Payment - 10% down'!U78/('[6]Final income'!U78/12)</f>
        <v>0.38712479192319149</v>
      </c>
      <c r="V77" s="177">
        <f>'[6]Payment - 10% down'!V78/('[6]Final income'!V78/12)</f>
        <v>0.40262593207051028</v>
      </c>
      <c r="W77" s="177">
        <f>'[6]Payment - 10% down'!W78/('[6]Final income'!W78/12)</f>
        <v>0.35369198099355165</v>
      </c>
    </row>
    <row r="78" spans="1:23">
      <c r="A78" s="65" t="s">
        <v>179</v>
      </c>
      <c r="B78" s="177" t="s">
        <v>25</v>
      </c>
      <c r="C78" s="177" t="s">
        <v>25</v>
      </c>
      <c r="D78" s="177" t="s">
        <v>25</v>
      </c>
      <c r="E78" s="177" t="s">
        <v>25</v>
      </c>
      <c r="F78" s="177" t="s">
        <v>25</v>
      </c>
      <c r="G78" s="177" t="s">
        <v>25</v>
      </c>
      <c r="H78" s="177" t="s">
        <v>25</v>
      </c>
      <c r="I78" s="177" t="s">
        <v>25</v>
      </c>
      <c r="J78" s="177" t="s">
        <v>25</v>
      </c>
      <c r="K78" s="177" t="s">
        <v>25</v>
      </c>
      <c r="L78" s="177" t="s">
        <v>25</v>
      </c>
      <c r="M78" s="177" t="s">
        <v>25</v>
      </c>
      <c r="N78" s="177" t="s">
        <v>25</v>
      </c>
      <c r="O78" s="177" t="s">
        <v>25</v>
      </c>
      <c r="P78" s="177" t="s">
        <v>25</v>
      </c>
      <c r="Q78" s="177">
        <f>'[6]Payment - 10% down'!Q79/('[6]Final income'!Q79/12)</f>
        <v>0.61929435653452369</v>
      </c>
      <c r="R78" s="177">
        <f>'[6]Payment - 10% down'!R79/('[6]Final income'!R79/12)</f>
        <v>0.64779437898354963</v>
      </c>
      <c r="S78" s="177">
        <f>'[6]Payment - 10% down'!S79/('[6]Final income'!S79/12)</f>
        <v>0.65756542885742064</v>
      </c>
      <c r="T78" s="177">
        <f>'[6]Payment - 10% down'!T79/('[6]Final income'!T79/12)</f>
        <v>0.50382834127099085</v>
      </c>
      <c r="U78" s="177">
        <f>'[6]Payment - 10% down'!U79/('[6]Final income'!U79/12)</f>
        <v>0.36168160899779245</v>
      </c>
      <c r="V78" s="177">
        <f>'[6]Payment - 10% down'!V79/('[6]Final income'!V79/12)</f>
        <v>0.39926700983582142</v>
      </c>
      <c r="W78" s="177">
        <f>'[6]Payment - 10% down'!W79/('[6]Final income'!W79/12)</f>
        <v>0.36220457621901531</v>
      </c>
    </row>
    <row r="79" spans="1:23">
      <c r="A79" s="65" t="s">
        <v>180</v>
      </c>
      <c r="B79" s="177">
        <f>'[6]Payment - 10% down'!B80/('[6]Final income'!B80/12)</f>
        <v>0.32695961826671155</v>
      </c>
      <c r="C79" s="177">
        <f>'[6]Payment - 10% down'!C80/('[6]Final income'!C80/12)</f>
        <v>0.28851544989813432</v>
      </c>
      <c r="D79" s="177">
        <f>'[6]Payment - 10% down'!D80/('[6]Final income'!D80/12)</f>
        <v>0.27337286986131326</v>
      </c>
      <c r="E79" s="177">
        <f>'[6]Payment - 10% down'!E80/('[6]Final income'!E80/12)</f>
        <v>0.24170201536074834</v>
      </c>
      <c r="F79" s="177">
        <f>'[6]Payment - 10% down'!F80/('[6]Final income'!F80/12)</f>
        <v>0.29693813636969468</v>
      </c>
      <c r="G79" s="177">
        <f>'[6]Payment - 10% down'!G80/('[6]Final income'!G80/12)</f>
        <v>0.2740154133437207</v>
      </c>
      <c r="H79" s="177">
        <f>'[6]Payment - 10% down'!H80/('[6]Final income'!H80/12)</f>
        <v>0.27272955410296568</v>
      </c>
      <c r="I79" s="177">
        <f>'[6]Payment - 10% down'!I80/('[6]Final income'!I80/12)</f>
        <v>0.22703969901741519</v>
      </c>
      <c r="J79" s="177">
        <f>'[6]Payment - 10% down'!J80/('[6]Final income'!J80/12)</f>
        <v>0.23037099938358199</v>
      </c>
      <c r="K79" s="177">
        <f>'[6]Payment - 10% down'!K80/('[6]Final income'!K80/12)</f>
        <v>0.27471588082414139</v>
      </c>
      <c r="L79" s="177">
        <f>'[6]Payment - 10% down'!L80/('[6]Final income'!L80/12)</f>
        <v>0.30954213358434152</v>
      </c>
      <c r="M79" s="177">
        <f>'[6]Payment - 10% down'!M80/('[6]Final income'!M80/12)</f>
        <v>0.30857730263039596</v>
      </c>
      <c r="N79" s="177">
        <f>'[6]Payment - 10% down'!N80/('[6]Final income'!N80/12)</f>
        <v>0.30404834323352753</v>
      </c>
      <c r="O79" s="177">
        <f>'[6]Payment - 10% down'!O80/('[6]Final income'!O80/12)</f>
        <v>0.28884351232925398</v>
      </c>
      <c r="P79" s="177">
        <f>'[6]Payment - 10% down'!P80/('[6]Final income'!P80/12)</f>
        <v>0.32912422809560815</v>
      </c>
      <c r="Q79" s="177">
        <f>'[6]Payment - 10% down'!Q80/('[6]Final income'!Q80/12)</f>
        <v>0.36813104055349644</v>
      </c>
      <c r="R79" s="177">
        <f>'[6]Payment - 10% down'!R80/('[6]Final income'!R80/12)</f>
        <v>0.41515149564850434</v>
      </c>
      <c r="S79" s="177">
        <f>'[6]Payment - 10% down'!S80/('[6]Final income'!S80/12)</f>
        <v>0.41360219574156165</v>
      </c>
      <c r="T79" s="177">
        <f>'[6]Payment - 10% down'!T80/('[6]Final income'!T80/12)</f>
        <v>0.35178127152881827</v>
      </c>
      <c r="U79" s="177">
        <f>'[6]Payment - 10% down'!U80/('[6]Final income'!U80/12)</f>
        <v>0.28808668754717615</v>
      </c>
      <c r="V79" s="177">
        <f>'[6]Payment - 10% down'!V80/('[6]Final income'!V80/12)</f>
        <v>0.26866219257650498</v>
      </c>
      <c r="W79" s="177">
        <f>'[6]Payment - 10% down'!W80/('[6]Final income'!W80/12)</f>
        <v>0.23640057008765972</v>
      </c>
    </row>
    <row r="80" spans="1:23">
      <c r="A80" s="65" t="s">
        <v>181</v>
      </c>
      <c r="B80" s="177">
        <f>'[6]Payment - 10% down'!B81/('[6]Final income'!B81/12)</f>
        <v>0.38037800278416289</v>
      </c>
      <c r="C80" s="177">
        <f>'[6]Payment - 10% down'!C81/('[6]Final income'!C81/12)</f>
        <v>0.34343764020026302</v>
      </c>
      <c r="D80" s="177">
        <f>'[6]Payment - 10% down'!D81/('[6]Final income'!D81/12)</f>
        <v>0.3064362478592435</v>
      </c>
      <c r="E80" s="177">
        <f>'[6]Payment - 10% down'!E81/('[6]Final income'!E81/12)</f>
        <v>0.26156508270559964</v>
      </c>
      <c r="F80" s="177">
        <f>'[6]Payment - 10% down'!F81/('[6]Final income'!F81/12)</f>
        <v>0.25256374111497248</v>
      </c>
      <c r="G80" s="177">
        <f>'[6]Payment - 10% down'!G81/('[6]Final income'!G81/12)</f>
        <v>0.25059264681574411</v>
      </c>
      <c r="H80" s="177">
        <f>'[6]Payment - 10% down'!H81/('[6]Final income'!H81/12)</f>
        <v>0.2386464819960534</v>
      </c>
      <c r="I80" s="177">
        <f>'[6]Payment - 10% down'!I81/('[6]Final income'!I81/12)</f>
        <v>0.21747374559005656</v>
      </c>
      <c r="J80" s="177">
        <f>'[6]Payment - 10% down'!J81/('[6]Final income'!J81/12)</f>
        <v>0.20730906620927123</v>
      </c>
      <c r="K80" s="177">
        <f>'[6]Payment - 10% down'!K81/('[6]Final income'!K81/12)</f>
        <v>0.21778799255461728</v>
      </c>
      <c r="L80" s="177">
        <f>'[6]Payment - 10% down'!L81/('[6]Final income'!L81/12)</f>
        <v>0.23394677231183664</v>
      </c>
      <c r="M80" s="177">
        <f>'[6]Payment - 10% down'!M81/('[6]Final income'!M81/12)</f>
        <v>0.22019597093867621</v>
      </c>
      <c r="N80" s="177">
        <f>'[6]Payment - 10% down'!N81/('[6]Final income'!N81/12)</f>
        <v>0.22757275691114029</v>
      </c>
      <c r="O80" s="177">
        <f>'[6]Payment - 10% down'!O81/('[6]Final income'!O81/12)</f>
        <v>0.23906458084959964</v>
      </c>
      <c r="P80" s="177">
        <f>'[6]Payment - 10% down'!P81/('[6]Final income'!P81/12)</f>
        <v>0.2562110189987914</v>
      </c>
      <c r="Q80" s="177">
        <f>'[6]Payment - 10% down'!Q81/('[6]Final income'!Q81/12)</f>
        <v>0.28298934818188914</v>
      </c>
      <c r="R80" s="177">
        <f>'[6]Payment - 10% down'!R81/('[6]Final income'!R81/12)</f>
        <v>0.29857997894820559</v>
      </c>
      <c r="S80" s="177">
        <f>'[6]Payment - 10% down'!S81/('[6]Final income'!S81/12)</f>
        <v>0.29236232946055091</v>
      </c>
      <c r="T80" s="177">
        <f>'[6]Payment - 10% down'!T81/('[6]Final income'!T81/12)</f>
        <v>0.25235764207016653</v>
      </c>
      <c r="U80" s="177">
        <f>'[6]Payment - 10% down'!U81/('[6]Final income'!U81/12)</f>
        <v>0.21502223566148218</v>
      </c>
      <c r="V80" s="177">
        <f>'[6]Payment - 10% down'!V81/('[6]Final income'!V81/12)</f>
        <v>0.21873965230072812</v>
      </c>
      <c r="W80" s="177">
        <f>'[6]Payment - 10% down'!W81/('[6]Final income'!W81/12)</f>
        <v>0.19933070553391696</v>
      </c>
    </row>
    <row r="81" spans="1:23">
      <c r="A81" s="65" t="s">
        <v>182</v>
      </c>
      <c r="B81" s="177">
        <f>'[6]Payment - 10% down'!B82/('[6]Final income'!B82/12)</f>
        <v>0.23732278814549521</v>
      </c>
      <c r="C81" s="177">
        <f>'[6]Payment - 10% down'!C82/('[6]Final income'!C82/12)</f>
        <v>0.2207560889893474</v>
      </c>
      <c r="D81" s="177">
        <f>'[6]Payment - 10% down'!D82/('[6]Final income'!D82/12)</f>
        <v>0.21979062457239773</v>
      </c>
      <c r="E81" s="177">
        <f>'[6]Payment - 10% down'!E82/('[6]Final income'!E82/12)</f>
        <v>0.19389943470142812</v>
      </c>
      <c r="F81" s="177">
        <f>'[6]Payment - 10% down'!F82/('[6]Final income'!F82/12)</f>
        <v>0.20562748489106378</v>
      </c>
      <c r="G81" s="177">
        <f>'[6]Payment - 10% down'!G82/('[6]Final income'!G82/12)</f>
        <v>0.17976295336318554</v>
      </c>
      <c r="H81" s="177">
        <f>'[6]Payment - 10% down'!H82/('[6]Final income'!H82/12)</f>
        <v>0.18760174570852037</v>
      </c>
      <c r="I81" s="177">
        <f>'[6]Payment - 10% down'!I82/('[6]Final income'!I82/12)</f>
        <v>0.18534928311705162</v>
      </c>
      <c r="J81" s="177">
        <f>'[6]Payment - 10% down'!J82/('[6]Final income'!J82/12)</f>
        <v>0.16792423693754513</v>
      </c>
      <c r="K81" s="177">
        <f>'[6]Payment - 10% down'!K82/('[6]Final income'!K82/12)</f>
        <v>0.1771152080710488</v>
      </c>
      <c r="L81" s="177">
        <f>'[6]Payment - 10% down'!L82/('[6]Final income'!L82/12)</f>
        <v>0.19390603895277736</v>
      </c>
      <c r="M81" s="177">
        <f>'[6]Payment - 10% down'!M82/('[6]Final income'!M82/12)</f>
        <v>0.17853968193469694</v>
      </c>
      <c r="N81" s="177">
        <f>'[6]Payment - 10% down'!N82/('[6]Final income'!N82/12)</f>
        <v>0.17767186409588592</v>
      </c>
      <c r="O81" s="177">
        <f>'[6]Payment - 10% down'!O82/('[6]Final income'!O82/12)</f>
        <v>0.16174326795276142</v>
      </c>
      <c r="P81" s="177">
        <f>'[6]Payment - 10% down'!P82/('[6]Final income'!P82/12)</f>
        <v>0.16679316701986013</v>
      </c>
      <c r="Q81" s="177">
        <f>'[6]Payment - 10% down'!Q82/('[6]Final income'!Q82/12)</f>
        <v>0.18211979008991003</v>
      </c>
      <c r="R81" s="177">
        <f>'[6]Payment - 10% down'!R82/('[6]Final income'!R82/12)</f>
        <v>0.19829139810504234</v>
      </c>
      <c r="S81" s="177">
        <f>'[6]Payment - 10% down'!S82/('[6]Final income'!S82/12)</f>
        <v>0.18348163352471897</v>
      </c>
      <c r="T81" s="177">
        <f>'[6]Payment - 10% down'!T82/('[6]Final income'!T82/12)</f>
        <v>0.15693405961246842</v>
      </c>
      <c r="U81" s="177">
        <f>'[6]Payment - 10% down'!U82/('[6]Final income'!U82/12)</f>
        <v>0.13739944302993881</v>
      </c>
      <c r="V81" s="177">
        <f>'[6]Payment - 10% down'!V82/('[6]Final income'!V82/12)</f>
        <v>0.13983705090201334</v>
      </c>
      <c r="W81" s="177">
        <f>'[6]Payment - 10% down'!W82/('[6]Final income'!W82/12)</f>
        <v>0.12456302989178049</v>
      </c>
    </row>
    <row r="82" spans="1:23">
      <c r="A82" s="65" t="s">
        <v>183</v>
      </c>
      <c r="B82" s="177">
        <f>'[6]Payment - 10% down'!B83/('[6]Final income'!B83/12)</f>
        <v>0.24640312974594025</v>
      </c>
      <c r="C82" s="177">
        <f>'[6]Payment - 10% down'!C83/('[6]Final income'!C83/12)</f>
        <v>0.22028468178385602</v>
      </c>
      <c r="D82" s="177">
        <f>'[6]Payment - 10% down'!D83/('[6]Final income'!D83/12)</f>
        <v>0.21464185256343321</v>
      </c>
      <c r="E82" s="177">
        <f>'[6]Payment - 10% down'!E83/('[6]Final income'!E83/12)</f>
        <v>0.20080594394223833</v>
      </c>
      <c r="F82" s="177">
        <f>'[6]Payment - 10% down'!F83/('[6]Final income'!F83/12)</f>
        <v>0.21649541319042701</v>
      </c>
      <c r="G82" s="177">
        <f>'[6]Payment - 10% down'!G83/('[6]Final income'!G83/12)</f>
        <v>0.19641999784416816</v>
      </c>
      <c r="H82" s="177">
        <f>'[6]Payment - 10% down'!H83/('[6]Final income'!H83/12)</f>
        <v>0.17468302527322016</v>
      </c>
      <c r="I82" s="177">
        <f>'[6]Payment - 10% down'!I83/('[6]Final income'!I83/12)</f>
        <v>0.16845286209734886</v>
      </c>
      <c r="J82" s="177">
        <f>'[6]Payment - 10% down'!J83/('[6]Final income'!J83/12)</f>
        <v>0.15050727068047465</v>
      </c>
      <c r="K82" s="177">
        <f>'[6]Payment - 10% down'!K83/('[6]Final income'!K83/12)</f>
        <v>0.15341540264099907</v>
      </c>
      <c r="L82" s="177">
        <f>'[6]Payment - 10% down'!L83/('[6]Final income'!L83/12)</f>
        <v>0.15656549136640424</v>
      </c>
      <c r="M82" s="177">
        <f>'[6]Payment - 10% down'!M83/('[6]Final income'!M83/12)</f>
        <v>0.14847492482856786</v>
      </c>
      <c r="N82" s="177">
        <f>'[6]Payment - 10% down'!N83/('[6]Final income'!N83/12)</f>
        <v>0.14091782893097185</v>
      </c>
      <c r="O82" s="177">
        <f>'[6]Payment - 10% down'!O83/('[6]Final income'!O83/12)</f>
        <v>0.1386489186867047</v>
      </c>
      <c r="P82" s="177">
        <f>'[6]Payment - 10% down'!P83/('[6]Final income'!P83/12)</f>
        <v>0.14018142139785794</v>
      </c>
      <c r="Q82" s="177">
        <f>'[6]Payment - 10% down'!Q83/('[6]Final income'!Q83/12)</f>
        <v>0.15183008026305678</v>
      </c>
      <c r="R82" s="177">
        <f>'[6]Payment - 10% down'!R83/('[6]Final income'!R83/12)</f>
        <v>0.1693067910268431</v>
      </c>
      <c r="S82" s="177">
        <f>'[6]Payment - 10% down'!S83/('[6]Final income'!S83/12)</f>
        <v>0.17187402178137964</v>
      </c>
      <c r="T82" s="177">
        <f>'[6]Payment - 10% down'!T83/('[6]Final income'!T83/12)</f>
        <v>0.15826216502960247</v>
      </c>
      <c r="U82" s="177">
        <f>'[6]Payment - 10% down'!U83/('[6]Final income'!U83/12)</f>
        <v>0.1448960845553664</v>
      </c>
      <c r="V82" s="177">
        <f>'[6]Payment - 10% down'!V83/('[6]Final income'!V83/12)</f>
        <v>0.14417216282104969</v>
      </c>
      <c r="W82" s="177">
        <f>'[6]Payment - 10% down'!W83/('[6]Final income'!W83/12)</f>
        <v>0.1342897567980289</v>
      </c>
    </row>
    <row r="83" spans="1:23">
      <c r="A83" s="65" t="s">
        <v>184</v>
      </c>
      <c r="B83" s="177">
        <f>'[6]Payment - 10% down'!B84/('[6]Final income'!B84/12)</f>
        <v>0.25275672037282748</v>
      </c>
      <c r="C83" s="177">
        <f>'[6]Payment - 10% down'!C84/('[6]Final income'!C84/12)</f>
        <v>0.22669726939789459</v>
      </c>
      <c r="D83" s="177">
        <f>'[6]Payment - 10% down'!D84/('[6]Final income'!D84/12)</f>
        <v>0.21174399065787336</v>
      </c>
      <c r="E83" s="177">
        <f>'[6]Payment - 10% down'!E84/('[6]Final income'!E84/12)</f>
        <v>0.18729938370873614</v>
      </c>
      <c r="F83" s="177">
        <f>'[6]Payment - 10% down'!F84/('[6]Final income'!F84/12)</f>
        <v>0.20547742086054538</v>
      </c>
      <c r="G83" s="177">
        <f>'[6]Payment - 10% down'!G84/('[6]Final income'!G84/12)</f>
        <v>0.19692924455661648</v>
      </c>
      <c r="H83" s="177">
        <f>'[6]Payment - 10% down'!H84/('[6]Final income'!H84/12)</f>
        <v>0.19677699683511904</v>
      </c>
      <c r="I83" s="177">
        <f>'[6]Payment - 10% down'!I84/('[6]Final income'!I84/12)</f>
        <v>0.18663815952294888</v>
      </c>
      <c r="J83" s="177">
        <f>'[6]Payment - 10% down'!J84/('[6]Final income'!J84/12)</f>
        <v>0.17257690290291444</v>
      </c>
      <c r="K83" s="177">
        <f>'[6]Payment - 10% down'!K84/('[6]Final income'!K84/12)</f>
        <v>0.19146296821798622</v>
      </c>
      <c r="L83" s="177">
        <f>'[6]Payment - 10% down'!L84/('[6]Final income'!L84/12)</f>
        <v>0.23673267561010131</v>
      </c>
      <c r="M83" s="177">
        <f>'[6]Payment - 10% down'!M84/('[6]Final income'!M84/12)</f>
        <v>0.23433091132639372</v>
      </c>
      <c r="N83" s="177">
        <f>'[6]Payment - 10% down'!N84/('[6]Final income'!N84/12)</f>
        <v>0.24158055275608967</v>
      </c>
      <c r="O83" s="177">
        <f>'[6]Payment - 10% down'!O84/('[6]Final income'!O84/12)</f>
        <v>0.23381716808919875</v>
      </c>
      <c r="P83" s="177">
        <f>'[6]Payment - 10% down'!P84/('[6]Final income'!P84/12)</f>
        <v>0.25155097824297029</v>
      </c>
      <c r="Q83" s="177">
        <f>'[6]Payment - 10% down'!Q84/('[6]Final income'!Q84/12)</f>
        <v>0.30710202903408451</v>
      </c>
      <c r="R83" s="177">
        <f>'[6]Payment - 10% down'!R84/('[6]Final income'!R84/12)</f>
        <v>0.34413886271605137</v>
      </c>
      <c r="S83" s="177">
        <f>'[6]Payment - 10% down'!S84/('[6]Final income'!S84/12)</f>
        <v>0.30730275396073242</v>
      </c>
      <c r="T83" s="177">
        <f>'[6]Payment - 10% down'!T84/('[6]Final income'!T84/12)</f>
        <v>0.24385660483222213</v>
      </c>
      <c r="U83" s="177">
        <f>'[6]Payment - 10% down'!U84/('[6]Final income'!U84/12)</f>
        <v>0.18584441783515188</v>
      </c>
      <c r="V83" s="177">
        <f>'[6]Payment - 10% down'!V84/('[6]Final income'!V84/12)</f>
        <v>0.17442980011677681</v>
      </c>
      <c r="W83" s="177">
        <f>'[6]Payment - 10% down'!W84/('[6]Final income'!W84/12)</f>
        <v>0.15817615799593113</v>
      </c>
    </row>
    <row r="84" spans="1:23">
      <c r="A84" s="65" t="s">
        <v>185</v>
      </c>
      <c r="B84" s="177">
        <f>'[6]Payment - 10% down'!B85/('[6]Final income'!B85/12)</f>
        <v>0.19918938541617695</v>
      </c>
      <c r="C84" s="177">
        <f>'[6]Payment - 10% down'!C85/('[6]Final income'!C85/12)</f>
        <v>0.2049411498918437</v>
      </c>
      <c r="D84" s="177">
        <f>'[6]Payment - 10% down'!D85/('[6]Final income'!D85/12)</f>
        <v>0.18804824255825109</v>
      </c>
      <c r="E84" s="177">
        <f>'[6]Payment - 10% down'!E85/('[6]Final income'!E85/12)</f>
        <v>0.17093994290442641</v>
      </c>
      <c r="F84" s="177">
        <f>'[6]Payment - 10% down'!F85/('[6]Final income'!F85/12)</f>
        <v>0.19039728618195689</v>
      </c>
      <c r="G84" s="177">
        <f>'[6]Payment - 10% down'!G85/('[6]Final income'!G85/12)</f>
        <v>0.17414477379670398</v>
      </c>
      <c r="H84" s="177">
        <f>'[6]Payment - 10% down'!H85/('[6]Final income'!H85/12)</f>
        <v>0.19278563233548798</v>
      </c>
      <c r="I84" s="177">
        <f>'[6]Payment - 10% down'!I85/('[6]Final income'!I85/12)</f>
        <v>0.18246060271004153</v>
      </c>
      <c r="J84" s="177">
        <f>'[6]Payment - 10% down'!J85/('[6]Final income'!J85/12)</f>
        <v>0.17078666269754914</v>
      </c>
      <c r="K84" s="177">
        <f>'[6]Payment - 10% down'!K85/('[6]Final income'!K85/12)</f>
        <v>0.18554595475261568</v>
      </c>
      <c r="L84" s="177">
        <f>'[6]Payment - 10% down'!L85/('[6]Final income'!L85/12)</f>
        <v>0.20592823342254335</v>
      </c>
      <c r="M84" s="177">
        <f>'[6]Payment - 10% down'!M85/('[6]Final income'!M85/12)</f>
        <v>0.20076391461663504</v>
      </c>
      <c r="N84" s="177">
        <f>'[6]Payment - 10% down'!N85/('[6]Final income'!N85/12)</f>
        <v>0.18754719883582008</v>
      </c>
      <c r="O84" s="177">
        <f>'[6]Payment - 10% down'!O85/('[6]Final income'!O85/12)</f>
        <v>0.17463804788799761</v>
      </c>
      <c r="P84" s="177">
        <f>'[6]Payment - 10% down'!P85/('[6]Final income'!P85/12)</f>
        <v>0.17526111375219644</v>
      </c>
      <c r="Q84" s="177">
        <f>'[6]Payment - 10% down'!Q85/('[6]Final income'!Q85/12)</f>
        <v>0.17597760376925844</v>
      </c>
      <c r="R84" s="177">
        <f>'[6]Payment - 10% down'!R85/('[6]Final income'!R85/12)</f>
        <v>0.1710349905415634</v>
      </c>
      <c r="S84" s="177">
        <f>'[6]Payment - 10% down'!S85/('[6]Final income'!S85/12)</f>
        <v>0.15624409558782251</v>
      </c>
      <c r="T84" s="177">
        <f>'[6]Payment - 10% down'!T85/('[6]Final income'!T85/12)</f>
        <v>0.12950257767731146</v>
      </c>
      <c r="U84" s="177">
        <f>'[6]Payment - 10% down'!U85/('[6]Final income'!U85/12)</f>
        <v>0.11011454480010475</v>
      </c>
      <c r="V84" s="177">
        <f>'[6]Payment - 10% down'!V85/('[6]Final income'!V85/12)</f>
        <v>0.10542505027780748</v>
      </c>
      <c r="W84" s="177">
        <f>'[6]Payment - 10% down'!W85/('[6]Final income'!W85/12)</f>
        <v>9.3179024688230042E-2</v>
      </c>
    </row>
    <row r="85" spans="1:23">
      <c r="A85" s="65" t="s">
        <v>186</v>
      </c>
      <c r="B85" s="177" t="s">
        <v>25</v>
      </c>
      <c r="C85" s="177" t="s">
        <v>25</v>
      </c>
      <c r="D85" s="177">
        <f>'[6]Payment - 10% down'!D86/('[6]Final income'!D86/12)</f>
        <v>0.25140114681354919</v>
      </c>
      <c r="E85" s="177">
        <f>'[6]Payment - 10% down'!E86/('[6]Final income'!E86/12)</f>
        <v>0.23184714209007926</v>
      </c>
      <c r="F85" s="177">
        <f>'[6]Payment - 10% down'!F86/('[6]Final income'!F86/12)</f>
        <v>0.26864926008367296</v>
      </c>
      <c r="G85" s="177">
        <f>'[6]Payment - 10% down'!G86/('[6]Final income'!G86/12)</f>
        <v>0.2719393318908202</v>
      </c>
      <c r="H85" s="177">
        <f>'[6]Payment - 10% down'!H86/('[6]Final income'!H86/12)</f>
        <v>0.27118976507500092</v>
      </c>
      <c r="I85" s="177">
        <f>'[6]Payment - 10% down'!I86/('[6]Final income'!I86/12)</f>
        <v>0.25763562172736248</v>
      </c>
      <c r="J85" s="177">
        <f>'[6]Payment - 10% down'!J86/('[6]Final income'!J86/12)</f>
        <v>0.22049666720833067</v>
      </c>
      <c r="K85" s="177">
        <f>'[6]Payment - 10% down'!K86/('[6]Final income'!K86/12)</f>
        <v>0.23920784000993431</v>
      </c>
      <c r="L85" s="177">
        <f>'[6]Payment - 10% down'!L86/('[6]Final income'!L86/12)</f>
        <v>0.25915930487595984</v>
      </c>
      <c r="M85" s="177">
        <f>'[6]Payment - 10% down'!M86/('[6]Final income'!M86/12)</f>
        <v>0.24422606363436175</v>
      </c>
      <c r="N85" s="177">
        <f>'[6]Payment - 10% down'!N86/('[6]Final income'!N86/12)</f>
        <v>0.26604062623726937</v>
      </c>
      <c r="O85" s="177">
        <f>'[6]Payment - 10% down'!O86/('[6]Final income'!O86/12)</f>
        <v>0.26719096705712014</v>
      </c>
      <c r="P85" s="177">
        <f>'[6]Payment - 10% down'!P86/('[6]Final income'!P86/12)</f>
        <v>0.2955315640916733</v>
      </c>
      <c r="Q85" s="177">
        <f>'[6]Payment - 10% down'!Q86/('[6]Final income'!Q86/12)</f>
        <v>0.36004421064995945</v>
      </c>
      <c r="R85" s="177">
        <f>'[6]Payment - 10% down'!R86/('[6]Final income'!R86/12)</f>
        <v>0.38134858859999049</v>
      </c>
      <c r="S85" s="177">
        <f>'[6]Payment - 10% down'!S86/('[6]Final income'!S86/12)</f>
        <v>0.3587695953549207</v>
      </c>
      <c r="T85" s="177">
        <f>'[6]Payment - 10% down'!T86/('[6]Final income'!T86/12)</f>
        <v>0.2895473324326544</v>
      </c>
      <c r="U85" s="177">
        <f>'[6]Payment - 10% down'!U86/('[6]Final income'!U86/12)</f>
        <v>0.22994687604967365</v>
      </c>
      <c r="V85" s="177">
        <f>'[6]Payment - 10% down'!V86/('[6]Final income'!V86/12)</f>
        <v>0.199238494489824</v>
      </c>
      <c r="W85" s="177">
        <f>'[6]Payment - 10% down'!W86/('[6]Final income'!W86/12)</f>
        <v>0.16477637239005183</v>
      </c>
    </row>
    <row r="86" spans="1:23">
      <c r="A86" s="65" t="s">
        <v>187</v>
      </c>
      <c r="B86" s="177">
        <f>'[6]Payment - 10% down'!B87/('[6]Final income'!B87/12)</f>
        <v>0.2208309370077195</v>
      </c>
      <c r="C86" s="177">
        <f>'[6]Payment - 10% down'!C87/('[6]Final income'!C87/12)</f>
        <v>0.20066201603105088</v>
      </c>
      <c r="D86" s="177">
        <f>'[6]Payment - 10% down'!D87/('[6]Final income'!D87/12)</f>
        <v>0.19494487662088558</v>
      </c>
      <c r="E86" s="177">
        <f>'[6]Payment - 10% down'!E87/('[6]Final income'!E87/12)</f>
        <v>0.17606587059612008</v>
      </c>
      <c r="F86" s="177">
        <f>'[6]Payment - 10% down'!F87/('[6]Final income'!F87/12)</f>
        <v>0.19729569352081594</v>
      </c>
      <c r="G86" s="177">
        <f>'[6]Payment - 10% down'!G87/('[6]Final income'!G87/12)</f>
        <v>0.20397170607093479</v>
      </c>
      <c r="H86" s="177">
        <f>'[6]Payment - 10% down'!H87/('[6]Final income'!H87/12)</f>
        <v>0.20319395523492845</v>
      </c>
      <c r="I86" s="177">
        <f>'[6]Payment - 10% down'!I87/('[6]Final income'!I87/12)</f>
        <v>0.17996018437770686</v>
      </c>
      <c r="J86" s="177">
        <f>'[6]Payment - 10% down'!J87/('[6]Final income'!J87/12)</f>
        <v>0.16576700890674545</v>
      </c>
      <c r="K86" s="177">
        <f>'[6]Payment - 10% down'!K87/('[6]Final income'!K87/12)</f>
        <v>0.18429138894608962</v>
      </c>
      <c r="L86" s="177">
        <f>'[6]Payment - 10% down'!L87/('[6]Final income'!L87/12)</f>
        <v>0.20495697045513248</v>
      </c>
      <c r="M86" s="177">
        <f>'[6]Payment - 10% down'!M87/('[6]Final income'!M87/12)</f>
        <v>0.19009214409704164</v>
      </c>
      <c r="N86" s="177">
        <f>'[6]Payment - 10% down'!N87/('[6]Final income'!N87/12)</f>
        <v>0.1818310152890612</v>
      </c>
      <c r="O86" s="177">
        <f>'[6]Payment - 10% down'!O87/('[6]Final income'!O87/12)</f>
        <v>0.17739498843694332</v>
      </c>
      <c r="P86" s="177">
        <f>'[6]Payment - 10% down'!P87/('[6]Final income'!P87/12)</f>
        <v>0.18155387613001192</v>
      </c>
      <c r="Q86" s="177">
        <f>'[6]Payment - 10% down'!Q87/('[6]Final income'!Q87/12)</f>
        <v>0.18492915784788597</v>
      </c>
      <c r="R86" s="177">
        <f>'[6]Payment - 10% down'!R87/('[6]Final income'!R87/12)</f>
        <v>0.19724145548141891</v>
      </c>
      <c r="S86" s="177">
        <f>'[6]Payment - 10% down'!S87/('[6]Final income'!S87/12)</f>
        <v>0.18820544696428343</v>
      </c>
      <c r="T86" s="177">
        <f>'[6]Payment - 10% down'!T87/('[6]Final income'!T87/12)</f>
        <v>0.18044503604673101</v>
      </c>
      <c r="U86" s="177">
        <f>'[6]Payment - 10% down'!U87/('[6]Final income'!U87/12)</f>
        <v>0.16433155225801052</v>
      </c>
      <c r="V86" s="177">
        <f>'[6]Payment - 10% down'!V87/('[6]Final income'!V87/12)</f>
        <v>0.15965597389852546</v>
      </c>
      <c r="W86" s="177">
        <f>'[6]Payment - 10% down'!W87/('[6]Final income'!W87/12)</f>
        <v>0.14309565331916888</v>
      </c>
    </row>
    <row r="87" spans="1:23">
      <c r="A87" s="65" t="s">
        <v>106</v>
      </c>
      <c r="B87" s="177">
        <f>'[6]Payment - 10% down'!B6/('[6]Final income'!B6/12)</f>
        <v>0.30991764345750483</v>
      </c>
      <c r="C87" s="177">
        <f>'[6]Payment - 10% down'!C6/('[6]Final income'!C6/12)</f>
        <v>0.30089668372564865</v>
      </c>
      <c r="D87" s="177">
        <f>'[6]Payment - 10% down'!D6/('[6]Final income'!D6/12)</f>
        <v>0.28186902177765988</v>
      </c>
      <c r="E87" s="177">
        <f>'[6]Payment - 10% down'!E6/('[6]Final income'!E6/12)</f>
        <v>0.25680855763708688</v>
      </c>
      <c r="F87" s="177">
        <f>'[6]Payment - 10% down'!F6/('[6]Final income'!F6/12)</f>
        <v>0.28693418528708459</v>
      </c>
      <c r="G87" s="177">
        <f>'[6]Payment - 10% down'!G6/('[6]Final income'!G6/12)</f>
        <v>0.26762923137714884</v>
      </c>
      <c r="H87" s="177">
        <f>'[6]Payment - 10% down'!H6/('[6]Final income'!H6/12)</f>
        <v>0.26722667961972557</v>
      </c>
      <c r="I87" s="177">
        <f>'[6]Payment - 10% down'!I6/('[6]Final income'!I6/12)</f>
        <v>0.26387218595223111</v>
      </c>
      <c r="J87" s="177">
        <f>'[6]Payment - 10% down'!J6/('[6]Final income'!J6/12)</f>
        <v>0.2479013745425955</v>
      </c>
      <c r="K87" s="177">
        <f>'[6]Payment - 10% down'!K6/('[6]Final income'!K6/12)</f>
        <v>0.25876539300388557</v>
      </c>
      <c r="L87" s="177">
        <f>'[6]Payment - 10% down'!L6/('[6]Final income'!L6/12)</f>
        <v>0.27450502193583137</v>
      </c>
      <c r="M87" s="177">
        <f>'[6]Payment - 10% down'!M6/('[6]Final income'!M6/12)</f>
        <v>0.2591771433256318</v>
      </c>
      <c r="N87" s="177">
        <f>'[6]Payment - 10% down'!N6/('[6]Final income'!N6/12)</f>
        <v>0.26463389507215584</v>
      </c>
      <c r="O87" s="177">
        <f>'[6]Payment - 10% down'!O6/('[6]Final income'!O6/12)</f>
        <v>0.26020487840669942</v>
      </c>
      <c r="P87" s="177">
        <f>'[6]Payment - 10% down'!P6/('[6]Final income'!P6/12)</f>
        <v>0.27461053280064468</v>
      </c>
      <c r="Q87" s="177">
        <f>'[6]Payment - 10% down'!Q6/('[6]Final income'!Q6/12)</f>
        <v>0.30015717813058884</v>
      </c>
      <c r="R87" s="177">
        <f>'[6]Payment - 10% down'!R6/('[6]Final income'!R6/12)</f>
        <v>0.30968149918966142</v>
      </c>
      <c r="S87" s="177">
        <f>'[6]Payment - 10% down'!S6/('[6]Final income'!S6/12)</f>
        <v>0.28522252047555097</v>
      </c>
      <c r="T87" s="177">
        <f>'[6]Payment - 10% down'!T6/('[6]Final income'!T6/12)</f>
        <v>0.24443149533709566</v>
      </c>
      <c r="U87" s="177">
        <f>'[6]Payment - 10% down'!U6/('[6]Final income'!U6/12)</f>
        <v>0.20004739424886331</v>
      </c>
      <c r="V87" s="177">
        <f>'[6]Payment - 10% down'!V6/('[6]Final income'!V6/12)</f>
        <v>0.19329032317336073</v>
      </c>
      <c r="W87" s="177">
        <f>'[6]Payment - 10% down'!W6/('[6]Final income'!W6/12)</f>
        <v>0.17406141464335551</v>
      </c>
    </row>
    <row r="88" spans="1:23">
      <c r="A88" s="65" t="s">
        <v>188</v>
      </c>
      <c r="B88" s="177" t="s">
        <v>25</v>
      </c>
      <c r="C88" s="177">
        <f>'[6]Payment - 10% down'!C88/('[6]Final income'!C88/12)</f>
        <v>0.24336961154959155</v>
      </c>
      <c r="D88" s="177">
        <f>'[6]Payment - 10% down'!D88/('[6]Final income'!D88/12)</f>
        <v>0.22040645940665654</v>
      </c>
      <c r="E88" s="177">
        <f>'[6]Payment - 10% down'!E88/('[6]Final income'!E88/12)</f>
        <v>0.21603685466865874</v>
      </c>
      <c r="F88" s="177">
        <f>'[6]Payment - 10% down'!F88/('[6]Final income'!F88/12)</f>
        <v>0.24216889690632254</v>
      </c>
      <c r="G88" s="177">
        <f>'[6]Payment - 10% down'!G88/('[6]Final income'!G88/12)</f>
        <v>0.2392705196326852</v>
      </c>
      <c r="H88" s="177">
        <f>'[6]Payment - 10% down'!H88/('[6]Final income'!H88/12)</f>
        <v>0.22806076440049747</v>
      </c>
      <c r="I88" s="177">
        <f>'[6]Payment - 10% down'!I88/('[6]Final income'!I88/12)</f>
        <v>0.19832972741195679</v>
      </c>
      <c r="J88" s="177">
        <f>'[6]Payment - 10% down'!J88/('[6]Final income'!J88/12)</f>
        <v>0.18897988453978865</v>
      </c>
      <c r="K88" s="177">
        <f>'[6]Payment - 10% down'!K88/('[6]Final income'!K88/12)</f>
        <v>0.19746709996081444</v>
      </c>
      <c r="L88" s="177">
        <f>'[6]Payment - 10% down'!L88/('[6]Final income'!L88/12)</f>
        <v>0.21591392453571992</v>
      </c>
      <c r="M88" s="177">
        <f>'[6]Payment - 10% down'!M88/('[6]Final income'!M88/12)</f>
        <v>0.20412778095490147</v>
      </c>
      <c r="N88" s="177" t="s">
        <v>25</v>
      </c>
      <c r="O88" s="177">
        <f>'[6]Payment - 10% down'!O88/('[6]Final income'!O88/12)</f>
        <v>0.20052945948881845</v>
      </c>
      <c r="P88" s="177">
        <f>'[6]Payment - 10% down'!P88/('[6]Final income'!P88/12)</f>
        <v>0.23189840328428812</v>
      </c>
      <c r="Q88" s="177">
        <f>'[6]Payment - 10% down'!Q88/('[6]Final income'!Q88/12)</f>
        <v>0.27229359660253571</v>
      </c>
      <c r="R88" s="177">
        <f>'[6]Payment - 10% down'!R88/('[6]Final income'!R88/12)</f>
        <v>0.32817816650095172</v>
      </c>
      <c r="S88" s="177">
        <f>'[6]Payment - 10% down'!S88/('[6]Final income'!S88/12)</f>
        <v>0.32178311104257773</v>
      </c>
      <c r="T88" s="177">
        <f>'[6]Payment - 10% down'!T88/('[6]Final income'!T88/12)</f>
        <v>0.27544459285581985</v>
      </c>
      <c r="U88" s="177">
        <f>'[6]Payment - 10% down'!U88/('[6]Final income'!U88/12)</f>
        <v>0.2434192749200241</v>
      </c>
      <c r="V88" s="177">
        <f>'[6]Payment - 10% down'!V88/('[6]Final income'!V88/12)</f>
        <v>0.22528134060850449</v>
      </c>
      <c r="W88" s="177">
        <f>'[6]Payment - 10% down'!W88/('[6]Final income'!W88/12)</f>
        <v>0.18633938052865806</v>
      </c>
    </row>
    <row r="89" spans="1:23">
      <c r="A89" s="65" t="s">
        <v>189</v>
      </c>
      <c r="B89" s="177">
        <f>'[6]Payment - 10% down'!B89/('[6]Final income'!B89/12)</f>
        <v>0.28760877642153998</v>
      </c>
      <c r="C89" s="177">
        <f>'[6]Payment - 10% down'!C89/('[6]Final income'!C89/12)</f>
        <v>0.27732757918017958</v>
      </c>
      <c r="D89" s="177">
        <f>'[6]Payment - 10% down'!D89/('[6]Final income'!D89/12)</f>
        <v>0.25120866013512105</v>
      </c>
      <c r="E89" s="177">
        <f>'[6]Payment - 10% down'!E89/('[6]Final income'!E89/12)</f>
        <v>0.2273786419692575</v>
      </c>
      <c r="F89" s="177">
        <f>'[6]Payment - 10% down'!F89/('[6]Final income'!F89/12)</f>
        <v>0.24726668179654668</v>
      </c>
      <c r="G89" s="177">
        <f>'[6]Payment - 10% down'!G89/('[6]Final income'!G89/12)</f>
        <v>0.23372753823508327</v>
      </c>
      <c r="H89" s="177">
        <f>'[6]Payment - 10% down'!H89/('[6]Final income'!H89/12)</f>
        <v>0.22126709849128021</v>
      </c>
      <c r="I89" s="177">
        <f>'[6]Payment - 10% down'!I89/('[6]Final income'!I89/12)</f>
        <v>0.20983938941260685</v>
      </c>
      <c r="J89" s="177">
        <f>'[6]Payment - 10% down'!J89/('[6]Final income'!J89/12)</f>
        <v>0.19475635100412517</v>
      </c>
      <c r="K89" s="177">
        <f>'[6]Payment - 10% down'!K89/('[6]Final income'!K89/12)</f>
        <v>0.20126129639230433</v>
      </c>
      <c r="L89" s="177">
        <f>'[6]Payment - 10% down'!L89/('[6]Final income'!L89/12)</f>
        <v>0.21295312186803342</v>
      </c>
      <c r="M89" s="177">
        <f>'[6]Payment - 10% down'!M89/('[6]Final income'!M89/12)</f>
        <v>0.21532976010543287</v>
      </c>
      <c r="N89" s="177">
        <f>'[6]Payment - 10% down'!N89/('[6]Final income'!N89/12)</f>
        <v>0.23877112832347308</v>
      </c>
      <c r="O89" s="177">
        <f>'[6]Payment - 10% down'!O89/('[6]Final income'!O89/12)</f>
        <v>0.24667180985560588</v>
      </c>
      <c r="P89" s="177">
        <f>'[6]Payment - 10% down'!P89/('[6]Final income'!P89/12)</f>
        <v>0.29454757051492564</v>
      </c>
      <c r="Q89" s="177">
        <f>'[6]Payment - 10% down'!Q89/('[6]Final income'!Q89/12)</f>
        <v>0.35018169199934168</v>
      </c>
      <c r="R89" s="177">
        <f>'[6]Payment - 10% down'!R89/('[6]Final income'!R89/12)</f>
        <v>0.35881714289877448</v>
      </c>
      <c r="S89" s="177">
        <f>'[6]Payment - 10% down'!S89/('[6]Final income'!S89/12)</f>
        <v>0.33475240556026292</v>
      </c>
      <c r="T89" s="177">
        <f>'[6]Payment - 10% down'!T89/('[6]Final income'!T89/12)</f>
        <v>0.25053162048881367</v>
      </c>
      <c r="U89" s="177">
        <f>'[6]Payment - 10% down'!U89/('[6]Final income'!U89/12)</f>
        <v>0.20546920813859493</v>
      </c>
      <c r="V89" s="177">
        <f>'[6]Payment - 10% down'!V89/('[6]Final income'!V89/12)</f>
        <v>0.2058631086314465</v>
      </c>
      <c r="W89" s="177">
        <f>'[6]Payment - 10% down'!W89/('[6]Final income'!W89/12)</f>
        <v>0.19224814296145176</v>
      </c>
    </row>
    <row r="90" spans="1:23">
      <c r="A90" s="65" t="s">
        <v>190</v>
      </c>
      <c r="B90" s="177">
        <f>'[6]Payment - 10% down'!B90/('[6]Final income'!B90/12)</f>
        <v>0.1837237765616225</v>
      </c>
      <c r="C90" s="177">
        <f>'[6]Payment - 10% down'!C90/('[6]Final income'!C90/12)</f>
        <v>0.18154855610487308</v>
      </c>
      <c r="D90" s="177">
        <f>'[6]Payment - 10% down'!D90/('[6]Final income'!D90/12)</f>
        <v>0.1677813650062342</v>
      </c>
      <c r="E90" s="177">
        <f>'[6]Payment - 10% down'!E90/('[6]Final income'!E90/12)</f>
        <v>0.15904714533315326</v>
      </c>
      <c r="F90" s="177">
        <f>'[6]Payment - 10% down'!F90/('[6]Final income'!F90/12)</f>
        <v>0.19009590741025134</v>
      </c>
      <c r="G90" s="177">
        <f>'[6]Payment - 10% down'!G90/('[6]Final income'!G90/12)</f>
        <v>0.17550121059869586</v>
      </c>
      <c r="H90" s="177">
        <f>'[6]Payment - 10% down'!H90/('[6]Final income'!H90/12)</f>
        <v>0.16973871410034982</v>
      </c>
      <c r="I90" s="177">
        <f>'[6]Payment - 10% down'!I90/('[6]Final income'!I90/12)</f>
        <v>0.15174641759110638</v>
      </c>
      <c r="J90" s="177">
        <f>'[6]Payment - 10% down'!J90/('[6]Final income'!J90/12)</f>
        <v>0.15030380286300962</v>
      </c>
      <c r="K90" s="177">
        <f>'[6]Payment - 10% down'!K90/('[6]Final income'!K90/12)</f>
        <v>0.16108981127629818</v>
      </c>
      <c r="L90" s="177">
        <f>'[6]Payment - 10% down'!L90/('[6]Final income'!L90/12)</f>
        <v>0.17132166012917935</v>
      </c>
      <c r="M90" s="177">
        <f>'[6]Payment - 10% down'!M90/('[6]Final income'!M90/12)</f>
        <v>0.16287228470957366</v>
      </c>
      <c r="N90" s="177">
        <f>'[6]Payment - 10% down'!N90/('[6]Final income'!N90/12)</f>
        <v>0.16268549705337054</v>
      </c>
      <c r="O90" s="177">
        <f>'[6]Payment - 10% down'!O90/('[6]Final income'!O90/12)</f>
        <v>0.15021361640588204</v>
      </c>
      <c r="P90" s="177">
        <f>'[6]Payment - 10% down'!P90/('[6]Final income'!P90/12)</f>
        <v>0.15344115081541249</v>
      </c>
      <c r="Q90" s="177">
        <f>'[6]Payment - 10% down'!Q90/('[6]Final income'!Q90/12)</f>
        <v>0.15840872347424509</v>
      </c>
      <c r="R90" s="177">
        <f>'[6]Payment - 10% down'!R90/('[6]Final income'!R90/12)</f>
        <v>0.16403530551717546</v>
      </c>
      <c r="S90" s="177">
        <f>'[6]Payment - 10% down'!S90/('[6]Final income'!S90/12)</f>
        <v>0.1641449190503054</v>
      </c>
      <c r="T90" s="177">
        <f>'[6]Payment - 10% down'!T90/('[6]Final income'!T90/12)</f>
        <v>0.15768782873500056</v>
      </c>
      <c r="U90" s="177">
        <f>'[6]Payment - 10% down'!U90/('[6]Final income'!U90/12)</f>
        <v>0.14401535829322867</v>
      </c>
      <c r="V90" s="177">
        <f>'[6]Payment - 10% down'!V90/('[6]Final income'!V90/12)</f>
        <v>0.13881824160017484</v>
      </c>
      <c r="W90" s="177">
        <f>'[6]Payment - 10% down'!W90/('[6]Final income'!W90/12)</f>
        <v>0.12601350348372992</v>
      </c>
    </row>
    <row r="91" spans="1:23">
      <c r="A91" s="65" t="s">
        <v>191</v>
      </c>
      <c r="B91" s="177">
        <f>'[6]Payment - 10% down'!B91/('[6]Final income'!B91/12)</f>
        <v>0.36324479606075794</v>
      </c>
      <c r="C91" s="177">
        <f>'[6]Payment - 10% down'!C91/('[6]Final income'!C91/12)</f>
        <v>0.31822997155170546</v>
      </c>
      <c r="D91" s="177">
        <f>'[6]Payment - 10% down'!D91/('[6]Final income'!D91/12)</f>
        <v>0.28207635366947797</v>
      </c>
      <c r="E91" s="177">
        <f>'[6]Payment - 10% down'!E91/('[6]Final income'!E91/12)</f>
        <v>0.24804097932146113</v>
      </c>
      <c r="F91" s="177">
        <f>'[6]Payment - 10% down'!F91/('[6]Final income'!F91/12)</f>
        <v>0.25341927322222435</v>
      </c>
      <c r="G91" s="177">
        <f>'[6]Payment - 10% down'!G91/('[6]Final income'!G91/12)</f>
        <v>0.25101395284879657</v>
      </c>
      <c r="H91" s="177">
        <f>'[6]Payment - 10% down'!H91/('[6]Final income'!H91/12)</f>
        <v>0.23936543797476162</v>
      </c>
      <c r="I91" s="177">
        <f>'[6]Payment - 10% down'!I91/('[6]Final income'!I91/12)</f>
        <v>0.22689587005383482</v>
      </c>
      <c r="J91" s="177">
        <f>'[6]Payment - 10% down'!J91/('[6]Final income'!J91/12)</f>
        <v>0.21377607052008812</v>
      </c>
      <c r="K91" s="177" t="s">
        <v>25</v>
      </c>
      <c r="L91" s="177">
        <f>'[6]Payment - 10% down'!L91/('[6]Final income'!L91/12)</f>
        <v>0.21676432685755567</v>
      </c>
      <c r="M91" s="177">
        <f>'[6]Payment - 10% down'!M91/('[6]Final income'!M91/12)</f>
        <v>0.21223300558113195</v>
      </c>
      <c r="N91" s="177">
        <f>'[6]Payment - 10% down'!N91/('[6]Final income'!N91/12)</f>
        <v>0.2832354642724571</v>
      </c>
      <c r="O91" s="177">
        <f>'[6]Payment - 10% down'!O91/('[6]Final income'!O91/12)</f>
        <v>0.29895076399825343</v>
      </c>
      <c r="P91" s="177">
        <f>'[6]Payment - 10% down'!P91/('[6]Final income'!P91/12)</f>
        <v>0.3139238722549515</v>
      </c>
      <c r="Q91" s="177">
        <f>'[6]Payment - 10% down'!Q91/('[6]Final income'!Q91/12)</f>
        <v>0.32420297622356026</v>
      </c>
      <c r="R91" s="177">
        <f>'[6]Payment - 10% down'!R91/('[6]Final income'!R91/12)</f>
        <v>0.31785564189224258</v>
      </c>
      <c r="S91" s="177">
        <f>'[6]Payment - 10% down'!S91/('[6]Final income'!S91/12)</f>
        <v>0.29415703408629074</v>
      </c>
      <c r="T91" s="177">
        <f>'[6]Payment - 10% down'!T91/('[6]Final income'!T91/12)</f>
        <v>0.23299863665771611</v>
      </c>
      <c r="U91" s="177">
        <f>'[6]Payment - 10% down'!U91/('[6]Final income'!U91/12)</f>
        <v>0.19381323597636957</v>
      </c>
      <c r="V91" s="177">
        <f>'[6]Payment - 10% down'!V91/('[6]Final income'!V91/12)</f>
        <v>0.20097609057371096</v>
      </c>
      <c r="W91" s="177">
        <f>'[6]Payment - 10% down'!W91/('[6]Final income'!W91/12)</f>
        <v>0.17963451048173237</v>
      </c>
    </row>
    <row r="92" spans="1:23">
      <c r="A92" s="65" t="s">
        <v>192</v>
      </c>
      <c r="B92" s="177">
        <f>'[6]Payment - 10% down'!B92/('[6]Final income'!B92/12)</f>
        <v>0.1835078301479314</v>
      </c>
      <c r="C92" s="177">
        <f>'[6]Payment - 10% down'!C92/('[6]Final income'!C92/12)</f>
        <v>0.181343866849349</v>
      </c>
      <c r="D92" s="177">
        <f>'[6]Payment - 10% down'!D92/('[6]Final income'!D92/12)</f>
        <v>0.16833125995332793</v>
      </c>
      <c r="E92" s="177">
        <f>'[6]Payment - 10% down'!E92/('[6]Final income'!E92/12)</f>
        <v>0.16013595793484039</v>
      </c>
      <c r="F92" s="177">
        <f>'[6]Payment - 10% down'!F92/('[6]Final income'!F92/12)</f>
        <v>0.17953872578238081</v>
      </c>
      <c r="G92" s="177">
        <f>'[6]Payment - 10% down'!G92/('[6]Final income'!G92/12)</f>
        <v>0.15976665967420969</v>
      </c>
      <c r="H92" s="177">
        <f>'[6]Payment - 10% down'!H92/('[6]Final income'!H92/12)</f>
        <v>0.17209859346878797</v>
      </c>
      <c r="I92" s="177">
        <f>'[6]Payment - 10% down'!I92/('[6]Final income'!I92/12)</f>
        <v>0.16688451452049216</v>
      </c>
      <c r="J92" s="177">
        <f>'[6]Payment - 10% down'!J92/('[6]Final income'!J92/12)</f>
        <v>0.15160171131885178</v>
      </c>
      <c r="K92" s="177">
        <f>'[6]Payment - 10% down'!K92/('[6]Final income'!K92/12)</f>
        <v>0.15522768973204837</v>
      </c>
      <c r="L92" s="177">
        <f>'[6]Payment - 10% down'!L92/('[6]Final income'!L92/12)</f>
        <v>0.16187945822812017</v>
      </c>
      <c r="M92" s="177">
        <f>'[6]Payment - 10% down'!M92/('[6]Final income'!M92/12)</f>
        <v>0.16208109776479188</v>
      </c>
      <c r="N92" s="177">
        <f>'[6]Payment - 10% down'!N92/('[6]Final income'!N92/12)</f>
        <v>0.16121922750494577</v>
      </c>
      <c r="O92" s="177">
        <f>'[6]Payment - 10% down'!O92/('[6]Final income'!O92/12)</f>
        <v>0.15043977104987066</v>
      </c>
      <c r="P92" s="177">
        <f>'[6]Payment - 10% down'!P92/('[6]Final income'!P92/12)</f>
        <v>0.14796741027342736</v>
      </c>
      <c r="Q92" s="177">
        <f>'[6]Payment - 10% down'!Q92/('[6]Final income'!Q92/12)</f>
        <v>0.14302890349225297</v>
      </c>
      <c r="R92" s="177">
        <f>'[6]Payment - 10% down'!R92/('[6]Final income'!R92/12)</f>
        <v>0.14007921064111717</v>
      </c>
      <c r="S92" s="177">
        <f>'[6]Payment - 10% down'!S92/('[6]Final income'!S92/12)</f>
        <v>0.12692256156524376</v>
      </c>
      <c r="T92" s="177">
        <f>'[6]Payment - 10% down'!T92/('[6]Final income'!T92/12)</f>
        <v>0.10770195940242651</v>
      </c>
      <c r="U92" s="177">
        <f>'[6]Payment - 10% down'!U92/('[6]Final income'!U92/12)</f>
        <v>9.8274452757364752E-2</v>
      </c>
      <c r="V92" s="177">
        <f>'[6]Payment - 10% down'!V92/('[6]Final income'!V92/12)</f>
        <v>9.6280567304575543E-2</v>
      </c>
      <c r="W92" s="177">
        <f>'[6]Payment - 10% down'!W92/('[6]Final income'!W92/12)</f>
        <v>9.5781442938565081E-2</v>
      </c>
    </row>
    <row r="94" spans="1:23">
      <c r="A94" s="119" t="s">
        <v>454</v>
      </c>
    </row>
    <row r="95" spans="1:23">
      <c r="A95" s="65" t="s">
        <v>304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B2:M61"/>
  <sheetViews>
    <sheetView workbookViewId="0">
      <selection activeCell="E3" sqref="E3"/>
    </sheetView>
  </sheetViews>
  <sheetFormatPr defaultRowHeight="15"/>
  <cols>
    <col min="1" max="1" width="3.140625" style="65" customWidth="1"/>
    <col min="2" max="2" width="4" style="63" customWidth="1"/>
    <col min="3" max="3" width="21.7109375" style="63" bestFit="1" customWidth="1"/>
    <col min="4" max="4" width="9.7109375" style="63" customWidth="1"/>
    <col min="5" max="10" width="10.5703125" style="63" bestFit="1" customWidth="1"/>
    <col min="11" max="11" width="2.28515625" style="63" customWidth="1"/>
    <col min="12" max="12" width="7.7109375" style="92" bestFit="1" customWidth="1"/>
    <col min="13" max="13" width="8.5703125" style="92" customWidth="1"/>
    <col min="14" max="17" width="13.28515625" style="65" bestFit="1" customWidth="1"/>
    <col min="18" max="16384" width="9.140625" style="65"/>
  </cols>
  <sheetData>
    <row r="2" spans="2:13">
      <c r="B2" s="64" t="s">
        <v>332</v>
      </c>
    </row>
    <row r="4" spans="2:13">
      <c r="B4" s="64"/>
      <c r="C4" s="64"/>
      <c r="D4" s="64" t="s">
        <v>306</v>
      </c>
      <c r="E4" s="64"/>
      <c r="F4" s="64"/>
      <c r="G4" s="64"/>
      <c r="H4" s="64"/>
      <c r="I4" s="64"/>
      <c r="J4" s="64"/>
      <c r="L4" s="270" t="s">
        <v>193</v>
      </c>
      <c r="M4" s="270"/>
    </row>
    <row r="5" spans="2:13">
      <c r="B5" s="64" t="s">
        <v>307</v>
      </c>
      <c r="C5" s="64"/>
      <c r="D5" s="64">
        <v>2004</v>
      </c>
      <c r="E5" s="64">
        <v>2005</v>
      </c>
      <c r="F5" s="64">
        <v>2006</v>
      </c>
      <c r="G5" s="64">
        <v>2007</v>
      </c>
      <c r="H5" s="64">
        <v>2008</v>
      </c>
      <c r="I5" s="64">
        <v>2009</v>
      </c>
      <c r="J5" s="64">
        <v>2010</v>
      </c>
      <c r="L5" s="93" t="s">
        <v>308</v>
      </c>
      <c r="M5" s="93" t="s">
        <v>309</v>
      </c>
    </row>
    <row r="6" spans="2:13" s="63" customFormat="1">
      <c r="B6" s="64"/>
      <c r="C6" s="94" t="s">
        <v>310</v>
      </c>
      <c r="D6" s="64"/>
      <c r="E6" s="64"/>
      <c r="F6" s="64"/>
      <c r="G6" s="64"/>
      <c r="H6" s="64"/>
      <c r="I6" s="64"/>
      <c r="J6" s="64"/>
      <c r="L6" s="93"/>
      <c r="M6" s="93"/>
    </row>
    <row r="7" spans="2:13">
      <c r="C7" s="63" t="s">
        <v>311</v>
      </c>
      <c r="D7" s="104">
        <f>4945343*(1/1000)</f>
        <v>4945.3429999999998</v>
      </c>
      <c r="E7" s="104">
        <f>5268113*(1/1000)</f>
        <v>5268.1130000000003</v>
      </c>
      <c r="F7" s="104">
        <f>4608921*(1/1000)</f>
        <v>4608.9210000000003</v>
      </c>
      <c r="G7" s="104">
        <f>3477662*(1/1000)</f>
        <v>3477.6620000000003</v>
      </c>
      <c r="H7" s="104">
        <f>2576422*(1/1000)</f>
        <v>2576.422</v>
      </c>
      <c r="I7" s="104">
        <f>2363789*(1/1000)</f>
        <v>2363.7890000000002</v>
      </c>
      <c r="J7" s="104">
        <f>2168992*(1/1000)</f>
        <v>2168.9920000000002</v>
      </c>
      <c r="L7" s="96">
        <f>(J7/I7-1)*100</f>
        <v>-8.2408793678285122</v>
      </c>
      <c r="M7" s="96">
        <f t="shared" ref="M7:M8" si="0">(J7/D7-1)*100</f>
        <v>-56.140716629766629</v>
      </c>
    </row>
    <row r="8" spans="2:13">
      <c r="C8" s="63" t="s">
        <v>312</v>
      </c>
      <c r="D8" s="104">
        <f>6253236*(1/1000)</f>
        <v>6253.2359999999999</v>
      </c>
      <c r="E8" s="104">
        <f>5591352*(1/1000)</f>
        <v>5591.3519999999999</v>
      </c>
      <c r="F8" s="104">
        <f>4370487*(1/1000)</f>
        <v>4370.4870000000001</v>
      </c>
      <c r="G8" s="104">
        <f>3537202*(1/1000)</f>
        <v>3537.2020000000002</v>
      </c>
      <c r="H8" s="104">
        <f>2685371*(1/1000)</f>
        <v>2685.3710000000001</v>
      </c>
      <c r="I8" s="104">
        <f>4809705*(1/1000)</f>
        <v>4809.7049999999999</v>
      </c>
      <c r="J8" s="104">
        <f>4248231*(1/1000)</f>
        <v>4248.2309999999998</v>
      </c>
      <c r="L8" s="96">
        <f>(J8/I8-1)*100</f>
        <v>-11.673772092051383</v>
      </c>
      <c r="M8" s="96">
        <f t="shared" si="0"/>
        <v>-32.063478813209677</v>
      </c>
    </row>
    <row r="10" spans="2:13">
      <c r="C10" s="63" t="s">
        <v>323</v>
      </c>
    </row>
    <row r="11" spans="2:13">
      <c r="C11" s="63" t="s">
        <v>314</v>
      </c>
      <c r="D11" s="97">
        <f>2073983*(1/1000)</f>
        <v>2073.9830000000002</v>
      </c>
      <c r="E11" s="97">
        <f>2094461*(1/1000)</f>
        <v>2094.4610000000002</v>
      </c>
      <c r="F11" s="97">
        <f>1834407*(1/1000)</f>
        <v>1834.4069999999999</v>
      </c>
      <c r="G11" s="97">
        <f>1330252*(1/1000)</f>
        <v>1330.252</v>
      </c>
      <c r="H11" s="97">
        <f>834753*(1/1000)</f>
        <v>834.75300000000004</v>
      </c>
      <c r="I11" s="97">
        <f>824890*(1/1000)</f>
        <v>824.89</v>
      </c>
      <c r="J11" s="97">
        <f>696786*(1/1000)</f>
        <v>696.78600000000006</v>
      </c>
      <c r="L11" s="96">
        <f>(J11/I11-1)*100</f>
        <v>-15.529828219520169</v>
      </c>
      <c r="M11" s="96">
        <f t="shared" ref="M11:M13" si="1">(J11/D11-1)*100</f>
        <v>-66.403485467335074</v>
      </c>
    </row>
    <row r="12" spans="2:13">
      <c r="C12" s="63" t="s">
        <v>315</v>
      </c>
      <c r="D12" s="97">
        <f>4523389*(1/1000)</f>
        <v>4523.3890000000001</v>
      </c>
      <c r="E12" s="97">
        <f>4459377*(1/1000)</f>
        <v>4459.3770000000004</v>
      </c>
      <c r="F12" s="97">
        <f>3713983*(1/1000)</f>
        <v>3713.9830000000002</v>
      </c>
      <c r="G12" s="97">
        <f>2877326*(1/1000)</f>
        <v>2877.326</v>
      </c>
      <c r="H12" s="97">
        <f>2125074*(1/1000)</f>
        <v>2125.0740000000001</v>
      </c>
      <c r="I12" s="97">
        <f>2717477*(1/1000)</f>
        <v>2717.4769999999999</v>
      </c>
      <c r="J12" s="97">
        <f>2360511*(1/1000)</f>
        <v>2360.511</v>
      </c>
      <c r="L12" s="96">
        <f>(J12/I12-1)*100</f>
        <v>-13.135934545168181</v>
      </c>
      <c r="M12" s="96">
        <f t="shared" si="1"/>
        <v>-47.815432190333397</v>
      </c>
    </row>
    <row r="13" spans="2:13">
      <c r="C13" s="63" t="s">
        <v>316</v>
      </c>
      <c r="D13" s="97">
        <f>4601207*(1/1000)</f>
        <v>4601.2070000000003</v>
      </c>
      <c r="E13" s="97">
        <f>4305627*(1/1000)</f>
        <v>4305.6270000000004</v>
      </c>
      <c r="F13" s="97">
        <f>3431018*(1/1000)</f>
        <v>3431.018</v>
      </c>
      <c r="G13" s="97">
        <f>2807286*(1/1000)</f>
        <v>2807.2860000000001</v>
      </c>
      <c r="H13" s="97">
        <f>2301966*(1/1000)</f>
        <v>2301.9659999999999</v>
      </c>
      <c r="I13" s="97">
        <f>3631127*(1/1000)</f>
        <v>3631.127</v>
      </c>
      <c r="J13" s="97">
        <f>3359926*(1/1000)</f>
        <v>3359.9259999999999</v>
      </c>
      <c r="L13" s="96">
        <f>(J13/I13-1)*100</f>
        <v>-7.4687831078340094</v>
      </c>
      <c r="M13" s="96">
        <f t="shared" si="1"/>
        <v>-26.977290958654986</v>
      </c>
    </row>
    <row r="14" spans="2:13">
      <c r="D14" s="97"/>
      <c r="E14" s="97"/>
      <c r="F14" s="97"/>
      <c r="G14" s="97"/>
      <c r="H14" s="97"/>
      <c r="I14" s="97"/>
      <c r="J14" s="97"/>
    </row>
    <row r="15" spans="2:13">
      <c r="C15" s="63" t="s">
        <v>324</v>
      </c>
      <c r="D15" s="97"/>
      <c r="E15" s="97"/>
      <c r="F15" s="97"/>
      <c r="G15" s="97"/>
      <c r="H15" s="97"/>
      <c r="I15" s="97"/>
      <c r="J15" s="97"/>
    </row>
    <row r="16" spans="2:13">
      <c r="C16" s="63" t="s">
        <v>325</v>
      </c>
      <c r="D16" s="97">
        <f>2864285*(1/1000)</f>
        <v>2864.2849999999999</v>
      </c>
      <c r="E16" s="97">
        <f>2882202*(1/1000)</f>
        <v>2882.2020000000002</v>
      </c>
      <c r="F16" s="97">
        <f>2457774*(1/1000)</f>
        <v>2457.7739999999999</v>
      </c>
      <c r="G16" s="97">
        <f>1680748*(1/1000)</f>
        <v>1680.748</v>
      </c>
      <c r="H16" s="97">
        <f>1015737*(1/1000)</f>
        <v>1015.737</v>
      </c>
      <c r="I16" s="97">
        <f>1070048*(1/1000)</f>
        <v>1070.048</v>
      </c>
      <c r="J16" s="97">
        <f>962476*(1/1000)</f>
        <v>962.476</v>
      </c>
      <c r="L16" s="96">
        <f>(J16/I16-1)*100</f>
        <v>-10.053006967911715</v>
      </c>
      <c r="M16" s="96">
        <f t="shared" ref="M16:M18" si="2">(J16/D16-1)*100</f>
        <v>-66.397338253700312</v>
      </c>
    </row>
    <row r="17" spans="2:13">
      <c r="C17" s="63" t="s">
        <v>326</v>
      </c>
      <c r="D17" s="97">
        <f>5947632*(1/1000)</f>
        <v>5947.6320000000005</v>
      </c>
      <c r="E17" s="97">
        <f>5776555*(1/1000)</f>
        <v>5776.5550000000003</v>
      </c>
      <c r="F17" s="97">
        <f>4734689*(1/1000)</f>
        <v>4734.6890000000003</v>
      </c>
      <c r="G17" s="97">
        <f>3795795*(1/1000)</f>
        <v>3795.7950000000001</v>
      </c>
      <c r="H17" s="97">
        <f>2927346*(1/1000)</f>
        <v>2927.346</v>
      </c>
      <c r="I17" s="97">
        <f>4109174*(1/1000)</f>
        <v>4109.174</v>
      </c>
      <c r="J17" s="97">
        <f>3688102*(1/1000)</f>
        <v>3688.1019999999999</v>
      </c>
      <c r="L17" s="96">
        <f>(J17/I17-1)*100</f>
        <v>-10.247120224161844</v>
      </c>
      <c r="M17" s="96">
        <f t="shared" si="2"/>
        <v>-37.99041366379091</v>
      </c>
    </row>
    <row r="18" spans="2:13">
      <c r="C18" s="63" t="s">
        <v>53</v>
      </c>
      <c r="D18" s="97">
        <f>2386662*(1/1000)</f>
        <v>2386.6620000000003</v>
      </c>
      <c r="E18" s="97">
        <f>2200708*(1/1000)</f>
        <v>2200.7080000000001</v>
      </c>
      <c r="F18" s="97">
        <f>1786945*(1/1000)</f>
        <v>1786.9449999999999</v>
      </c>
      <c r="G18" s="97">
        <f>1538321*(1/1000)</f>
        <v>1538.3210000000001</v>
      </c>
      <c r="H18" s="97">
        <f>1318710*(1/1000)</f>
        <v>1318.71</v>
      </c>
      <c r="I18" s="97">
        <f>1994272*(1/1000)</f>
        <v>1994.2719999999999</v>
      </c>
      <c r="J18" s="97">
        <f>1766645*(1/1000)</f>
        <v>1766.645</v>
      </c>
      <c r="L18" s="96">
        <f>(J18/I18-1)*100</f>
        <v>-11.414039810015886</v>
      </c>
      <c r="M18" s="96">
        <f t="shared" si="2"/>
        <v>-25.978416717574593</v>
      </c>
    </row>
    <row r="19" spans="2:13">
      <c r="D19" s="97"/>
      <c r="E19" s="97"/>
      <c r="F19" s="97"/>
      <c r="G19" s="97"/>
      <c r="H19" s="97"/>
      <c r="I19" s="97"/>
      <c r="J19" s="97"/>
      <c r="M19" s="96"/>
    </row>
    <row r="20" spans="2:13">
      <c r="C20" s="63" t="s">
        <v>327</v>
      </c>
      <c r="D20" s="97"/>
      <c r="E20" s="97"/>
      <c r="F20" s="97"/>
      <c r="G20" s="97"/>
      <c r="H20" s="97"/>
      <c r="I20" s="97"/>
      <c r="J20" s="97"/>
    </row>
    <row r="21" spans="2:13">
      <c r="C21" s="63" t="s">
        <v>328</v>
      </c>
      <c r="D21" s="97">
        <f>6492569*(1/1000)</f>
        <v>6492.5690000000004</v>
      </c>
      <c r="E21" s="97">
        <f>6000596*(1/1000)</f>
        <v>6000.5960000000005</v>
      </c>
      <c r="F21" s="97">
        <f>4970965*(1/1000)</f>
        <v>4970.9650000000001</v>
      </c>
      <c r="G21" s="97">
        <f>4290683*(1/1000)</f>
        <v>4290.683</v>
      </c>
      <c r="H21" s="97">
        <f>3558530*(1/1000)</f>
        <v>3558.53</v>
      </c>
      <c r="I21" s="97">
        <f>5352800*(1/1000)</f>
        <v>5352.8</v>
      </c>
      <c r="J21" s="97">
        <f>4828834*(1/1000)</f>
        <v>4828.8339999999998</v>
      </c>
      <c r="L21" s="96">
        <f>(J21/I21-1)*100</f>
        <v>-9.7886339859512894</v>
      </c>
      <c r="M21" s="96">
        <f t="shared" ref="M21:M23" si="3">(J21/D21-1)*100</f>
        <v>-25.625218615312374</v>
      </c>
    </row>
    <row r="22" spans="2:13">
      <c r="C22" s="63" t="s">
        <v>329</v>
      </c>
      <c r="D22" s="97">
        <f>2049946*(1/1000)</f>
        <v>2049.9459999999999</v>
      </c>
      <c r="E22" s="97">
        <f>2006816*(1/1000)</f>
        <v>2006.816</v>
      </c>
      <c r="F22" s="97">
        <f>1643082*(1/1000)</f>
        <v>1643.0820000000001</v>
      </c>
      <c r="G22" s="97">
        <f>1240601*(1/1000)</f>
        <v>1240.6010000000001</v>
      </c>
      <c r="H22" s="97">
        <f>871187*(1/1000)</f>
        <v>871.18700000000001</v>
      </c>
      <c r="I22" s="97">
        <f>1019687*(1/1000)</f>
        <v>1019.687</v>
      </c>
      <c r="J22" s="97">
        <f>899901*(1/1000)</f>
        <v>899.90100000000007</v>
      </c>
      <c r="L22" s="96">
        <f>(J22/I22-1)*100</f>
        <v>-11.747330308222026</v>
      </c>
      <c r="M22" s="96">
        <f t="shared" si="3"/>
        <v>-56.101233886160905</v>
      </c>
    </row>
    <row r="23" spans="2:13">
      <c r="C23" s="63" t="s">
        <v>330</v>
      </c>
      <c r="D23" s="97">
        <f>2656064*(1/1000)</f>
        <v>2656.0639999999999</v>
      </c>
      <c r="E23" s="97">
        <f>2852053*(1/1000)</f>
        <v>2852.0529999999999</v>
      </c>
      <c r="F23" s="97">
        <f>2365361*(1/1000)</f>
        <v>2365.3609999999999</v>
      </c>
      <c r="G23" s="97">
        <f>1483580*(1/1000)</f>
        <v>1483.58</v>
      </c>
      <c r="H23" s="97">
        <f>832076*(1/1000)</f>
        <v>832.07600000000002</v>
      </c>
      <c r="I23" s="97">
        <f>801007*(1/1000)</f>
        <v>801.00700000000006</v>
      </c>
      <c r="J23" s="97">
        <f>688488*(1/1000)</f>
        <v>688.48800000000006</v>
      </c>
      <c r="L23" s="96">
        <f>(J23/I23-1)*100</f>
        <v>-14.047193095690801</v>
      </c>
      <c r="M23" s="96">
        <f t="shared" si="3"/>
        <v>-74.078636659357599</v>
      </c>
    </row>
    <row r="24" spans="2:13">
      <c r="D24" s="97"/>
      <c r="E24" s="97"/>
      <c r="F24" s="97"/>
      <c r="G24" s="97"/>
      <c r="H24" s="97"/>
      <c r="I24" s="97"/>
      <c r="J24" s="97"/>
      <c r="L24" s="96"/>
      <c r="M24" s="96"/>
    </row>
    <row r="25" spans="2:13">
      <c r="C25" s="99" t="s">
        <v>320</v>
      </c>
      <c r="D25" s="105">
        <f>11198579*(1/1000)</f>
        <v>11198.579</v>
      </c>
      <c r="E25" s="105">
        <f>10859465*(1/1000)</f>
        <v>10859.465</v>
      </c>
      <c r="F25" s="105">
        <f>8979408*(1/1000)</f>
        <v>8979.4079999999994</v>
      </c>
      <c r="G25" s="105">
        <f>7014864*(1/1000)</f>
        <v>7014.8640000000005</v>
      </c>
      <c r="H25" s="105">
        <f>5261793*(1/1000)</f>
        <v>5261.7929999999997</v>
      </c>
      <c r="I25" s="105">
        <f>7173494*(1/1000)</f>
        <v>7173.4940000000006</v>
      </c>
      <c r="J25" s="105">
        <f>6417223*(1/1000)</f>
        <v>6417.223</v>
      </c>
      <c r="K25" s="99"/>
      <c r="L25" s="101">
        <f>(J25/I25-1)*100</f>
        <v>-10.542575208120342</v>
      </c>
      <c r="M25" s="101">
        <f>(J25/D25-1)*100</f>
        <v>-42.696095638562717</v>
      </c>
    </row>
    <row r="26" spans="2:13">
      <c r="L26" s="93"/>
      <c r="M26" s="93"/>
    </row>
    <row r="27" spans="2:13">
      <c r="B27" s="64" t="s">
        <v>311</v>
      </c>
      <c r="C27" s="64"/>
      <c r="D27" s="64">
        <v>2004</v>
      </c>
      <c r="E27" s="64">
        <v>2005</v>
      </c>
      <c r="F27" s="64">
        <v>2006</v>
      </c>
      <c r="G27" s="64">
        <v>2007</v>
      </c>
      <c r="H27" s="64">
        <v>2008</v>
      </c>
      <c r="I27" s="64">
        <v>2009</v>
      </c>
      <c r="J27" s="64">
        <v>2010</v>
      </c>
      <c r="L27" s="93" t="s">
        <v>308</v>
      </c>
      <c r="M27" s="93" t="s">
        <v>309</v>
      </c>
    </row>
    <row r="28" spans="2:13">
      <c r="C28" s="63" t="s">
        <v>323</v>
      </c>
    </row>
    <row r="29" spans="2:13">
      <c r="C29" s="63" t="s">
        <v>314</v>
      </c>
      <c r="D29" s="97">
        <f>898256*(1/1000)</f>
        <v>898.25599999999997</v>
      </c>
      <c r="E29" s="97">
        <f>981139*(1/1000)</f>
        <v>981.13900000000001</v>
      </c>
      <c r="F29" s="97">
        <f>889447*(1/1000)</f>
        <v>889.447</v>
      </c>
      <c r="G29" s="97">
        <f>625284*(1/1000)</f>
        <v>625.28399999999999</v>
      </c>
      <c r="H29" s="97">
        <f>419264*(1/1000)</f>
        <v>419.26400000000001</v>
      </c>
      <c r="I29" s="97">
        <f>358189*(1/1000)</f>
        <v>358.18900000000002</v>
      </c>
      <c r="J29" s="97">
        <f>310399*(1/1000)</f>
        <v>310.399</v>
      </c>
      <c r="L29" s="96">
        <f>(J29/I29-1)*100</f>
        <v>-13.342118267171809</v>
      </c>
      <c r="M29" s="96">
        <f>(J29/D29-1)*100</f>
        <v>-65.444260878858586</v>
      </c>
    </row>
    <row r="30" spans="2:13">
      <c r="C30" s="63" t="s">
        <v>315</v>
      </c>
      <c r="D30" s="97">
        <f>1984145*(1/1000)</f>
        <v>1984.145</v>
      </c>
      <c r="E30" s="97">
        <f>2133601*(1/1000)</f>
        <v>2133.6010000000001</v>
      </c>
      <c r="F30" s="97">
        <f>1870478*(1/1000)</f>
        <v>1870.4780000000001</v>
      </c>
      <c r="G30" s="97">
        <f>1397454*(1/1000)</f>
        <v>1397.454</v>
      </c>
      <c r="H30" s="97">
        <f>1033882*(1/1000)</f>
        <v>1033.8820000000001</v>
      </c>
      <c r="I30" s="97">
        <f>958028*(1/1000)</f>
        <v>958.02800000000002</v>
      </c>
      <c r="J30" s="97">
        <f>857829*(1/1000)</f>
        <v>857.82900000000006</v>
      </c>
      <c r="L30" s="96">
        <f>(J30/I30-1)*100</f>
        <v>-10.458880116238767</v>
      </c>
      <c r="M30" s="96">
        <f t="shared" ref="M30:M31" si="4">(J30/D30-1)*100</f>
        <v>-56.765810966436426</v>
      </c>
    </row>
    <row r="31" spans="2:13">
      <c r="C31" s="63" t="s">
        <v>316</v>
      </c>
      <c r="D31" s="97">
        <f>2062942*(1/1000)</f>
        <v>2062.942</v>
      </c>
      <c r="E31" s="97">
        <f>2153373*(1/1000)</f>
        <v>2153.373</v>
      </c>
      <c r="F31" s="97">
        <f>1848996*(1/1000)</f>
        <v>1848.9960000000001</v>
      </c>
      <c r="G31" s="97">
        <f>1454924*(1/1000)</f>
        <v>1454.924</v>
      </c>
      <c r="H31" s="97">
        <f>1123276*(1/1000)</f>
        <v>1123.2760000000001</v>
      </c>
      <c r="I31" s="97">
        <f>1047572*(1/1000)</f>
        <v>1047.5720000000001</v>
      </c>
      <c r="J31" s="97">
        <f>1000764*(1/1000)</f>
        <v>1000.764</v>
      </c>
      <c r="L31" s="96">
        <f>(J31/I31-1)*100</f>
        <v>-4.468237028099276</v>
      </c>
      <c r="M31" s="96">
        <f t="shared" si="4"/>
        <v>-51.48850525123828</v>
      </c>
    </row>
    <row r="32" spans="2:13">
      <c r="D32" s="97"/>
      <c r="E32" s="97"/>
      <c r="F32" s="97"/>
      <c r="G32" s="97"/>
      <c r="H32" s="97"/>
      <c r="I32" s="97"/>
      <c r="J32" s="97"/>
    </row>
    <row r="33" spans="2:13">
      <c r="C33" s="63" t="s">
        <v>324</v>
      </c>
      <c r="D33" s="97"/>
      <c r="E33" s="97"/>
      <c r="F33" s="97"/>
      <c r="G33" s="97"/>
      <c r="H33" s="97"/>
      <c r="I33" s="97"/>
      <c r="J33" s="97"/>
    </row>
    <row r="34" spans="2:13">
      <c r="C34" s="63" t="s">
        <v>325</v>
      </c>
      <c r="D34" s="97">
        <f>1163245*(1/1000)</f>
        <v>1163.2450000000001</v>
      </c>
      <c r="E34" s="97">
        <f>1272008*(1/1000)</f>
        <v>1272.008</v>
      </c>
      <c r="F34" s="97">
        <f>1127138*(1/1000)</f>
        <v>1127.1379999999999</v>
      </c>
      <c r="G34" s="97">
        <f>733362*(1/1000)</f>
        <v>733.36199999999997</v>
      </c>
      <c r="H34" s="97">
        <f>533389*(1/1000)</f>
        <v>533.38900000000001</v>
      </c>
      <c r="I34" s="97">
        <f>487267*(1/1000)</f>
        <v>487.267</v>
      </c>
      <c r="J34" s="97">
        <f>431052*(1/1000)</f>
        <v>431.05200000000002</v>
      </c>
      <c r="L34" s="96">
        <f>(J34/I34-1)*100</f>
        <v>-11.5367960481625</v>
      </c>
      <c r="M34" s="96">
        <f t="shared" ref="M34:M36" si="5">(J34/D34-1)*100</f>
        <v>-62.944005776942944</v>
      </c>
    </row>
    <row r="35" spans="2:13">
      <c r="C35" s="63" t="s">
        <v>326</v>
      </c>
      <c r="D35" s="97">
        <f>2766728*(1/1000)</f>
        <v>2766.7280000000001</v>
      </c>
      <c r="E35" s="97">
        <f>2953189*(1/1000)</f>
        <v>2953.1889999999999</v>
      </c>
      <c r="F35" s="97">
        <f>2570522*(1/1000)</f>
        <v>2570.5219999999999</v>
      </c>
      <c r="G35" s="97">
        <f>1984521*(1/1000)</f>
        <v>1984.521</v>
      </c>
      <c r="H35" s="97">
        <f>1464855*(1/1000)</f>
        <v>1464.855</v>
      </c>
      <c r="I35" s="97">
        <f>1340453*(1/1000)</f>
        <v>1340.453</v>
      </c>
      <c r="J35" s="97">
        <f>1237395*(1/1000)</f>
        <v>1237.395</v>
      </c>
      <c r="L35" s="96">
        <f>(J35/I35-1)*100</f>
        <v>-7.6882964191955949</v>
      </c>
      <c r="M35" s="96">
        <f t="shared" si="5"/>
        <v>-55.275870992739442</v>
      </c>
    </row>
    <row r="36" spans="2:13">
      <c r="C36" s="63" t="s">
        <v>53</v>
      </c>
      <c r="D36" s="97">
        <f>1015370*(1/1000)</f>
        <v>1015.37</v>
      </c>
      <c r="E36" s="97">
        <f>1042916*(1/1000)</f>
        <v>1042.9159999999999</v>
      </c>
      <c r="F36" s="97">
        <f>911261*(1/1000)</f>
        <v>911.26099999999997</v>
      </c>
      <c r="G36" s="97">
        <f>759779*(1/1000)</f>
        <v>759.779</v>
      </c>
      <c r="H36" s="97">
        <f>578178*(1/1000)</f>
        <v>578.178</v>
      </c>
      <c r="I36" s="97">
        <f>536069*(1/1000)</f>
        <v>536.06899999999996</v>
      </c>
      <c r="J36" s="97">
        <f>500545*(1/1000)</f>
        <v>500.54500000000002</v>
      </c>
      <c r="L36" s="96">
        <f>(J36/I36-1)*100</f>
        <v>-6.6267588687277108</v>
      </c>
      <c r="M36" s="96">
        <f t="shared" si="5"/>
        <v>-50.703191939883972</v>
      </c>
    </row>
    <row r="37" spans="2:13">
      <c r="D37" s="97"/>
      <c r="E37" s="97"/>
      <c r="F37" s="97"/>
      <c r="G37" s="97"/>
      <c r="H37" s="97"/>
      <c r="I37" s="97"/>
      <c r="J37" s="97"/>
    </row>
    <row r="38" spans="2:13">
      <c r="C38" s="63" t="s">
        <v>327</v>
      </c>
      <c r="D38" s="97"/>
      <c r="E38" s="97"/>
      <c r="F38" s="97"/>
      <c r="G38" s="97"/>
      <c r="H38" s="97"/>
      <c r="I38" s="97"/>
      <c r="J38" s="97"/>
    </row>
    <row r="39" spans="2:13">
      <c r="C39" s="63" t="s">
        <v>328</v>
      </c>
      <c r="D39" s="97">
        <f>2900627*(1/1000)</f>
        <v>2900.627</v>
      </c>
      <c r="E39" s="97">
        <f>3019857*(1/1000)</f>
        <v>3019.857</v>
      </c>
      <c r="F39" s="97">
        <f>2731485*(1/1000)</f>
        <v>2731.4850000000001</v>
      </c>
      <c r="G39" s="97">
        <f>2278040*(1/1000)</f>
        <v>2278.04</v>
      </c>
      <c r="H39" s="97">
        <f>1696401*(1/1000)</f>
        <v>1696.4010000000001</v>
      </c>
      <c r="I39" s="97">
        <f>1551513*(1/1000)</f>
        <v>1551.5129999999999</v>
      </c>
      <c r="J39" s="97">
        <f>1446272*(1/1000)</f>
        <v>1446.2719999999999</v>
      </c>
      <c r="L39" s="96">
        <f>(J39/I39-1)*100</f>
        <v>-6.783120734405701</v>
      </c>
      <c r="M39" s="96">
        <f t="shared" ref="M39:M41" si="6">(J39/D39-1)*100</f>
        <v>-50.139331944438226</v>
      </c>
    </row>
    <row r="40" spans="2:13">
      <c r="C40" s="63" t="s">
        <v>329</v>
      </c>
      <c r="D40" s="97">
        <f>877876*(1/1000)</f>
        <v>877.87599999999998</v>
      </c>
      <c r="E40" s="97">
        <f>923840*(1/1000)</f>
        <v>923.84</v>
      </c>
      <c r="F40" s="97">
        <f>793155*(1/1000)</f>
        <v>793.15499999999997</v>
      </c>
      <c r="G40" s="97">
        <f>577456*(1/1000)</f>
        <v>577.45600000000002</v>
      </c>
      <c r="H40" s="97">
        <f>424338*(1/1000)</f>
        <v>424.33800000000002</v>
      </c>
      <c r="I40" s="97">
        <f>385336*(1/1000)</f>
        <v>385.33600000000001</v>
      </c>
      <c r="J40" s="97">
        <f>349356*(1/1000)</f>
        <v>349.35599999999999</v>
      </c>
      <c r="L40" s="96">
        <f>(J40/I40-1)*100</f>
        <v>-9.3373056241825338</v>
      </c>
      <c r="M40" s="96">
        <f t="shared" si="6"/>
        <v>-60.204402444080941</v>
      </c>
    </row>
    <row r="41" spans="2:13">
      <c r="C41" s="63" t="s">
        <v>330</v>
      </c>
      <c r="D41" s="97">
        <f>1166840*(1/1000)</f>
        <v>1166.8399999999999</v>
      </c>
      <c r="E41" s="97">
        <f>1324416*(1/1000)</f>
        <v>1324.4159999999999</v>
      </c>
      <c r="F41" s="97">
        <f>1084281*(1/1000)</f>
        <v>1084.2809999999999</v>
      </c>
      <c r="G41" s="97">
        <f>622166*(1/1000)</f>
        <v>622.16600000000005</v>
      </c>
      <c r="H41" s="97">
        <f>455683*(1/1000)</f>
        <v>455.68299999999999</v>
      </c>
      <c r="I41" s="97">
        <f>426940*(1/1000)</f>
        <v>426.94</v>
      </c>
      <c r="J41" s="97">
        <f>373364*(1/1000)</f>
        <v>373.36400000000003</v>
      </c>
      <c r="L41" s="96">
        <f>(J41/I41-1)*100</f>
        <v>-12.548835902000278</v>
      </c>
      <c r="M41" s="96">
        <f t="shared" si="6"/>
        <v>-68.00212539851222</v>
      </c>
    </row>
    <row r="42" spans="2:13">
      <c r="D42" s="97"/>
      <c r="E42" s="97"/>
      <c r="F42" s="97"/>
      <c r="G42" s="97"/>
      <c r="H42" s="97"/>
      <c r="I42" s="97"/>
      <c r="J42" s="97"/>
    </row>
    <row r="43" spans="2:13">
      <c r="B43" s="64" t="s">
        <v>312</v>
      </c>
      <c r="C43" s="64"/>
      <c r="D43" s="64">
        <v>2004</v>
      </c>
      <c r="E43" s="64">
        <v>2005</v>
      </c>
      <c r="F43" s="64">
        <v>2006</v>
      </c>
      <c r="G43" s="64">
        <v>2007</v>
      </c>
      <c r="H43" s="64">
        <v>2008</v>
      </c>
      <c r="I43" s="64">
        <v>2009</v>
      </c>
      <c r="J43" s="64">
        <v>2010</v>
      </c>
      <c r="L43" s="93" t="s">
        <v>308</v>
      </c>
      <c r="M43" s="93" t="s">
        <v>309</v>
      </c>
    </row>
    <row r="44" spans="2:13">
      <c r="C44" s="63" t="s">
        <v>323</v>
      </c>
    </row>
    <row r="45" spans="2:13">
      <c r="C45" s="63" t="s">
        <v>314</v>
      </c>
      <c r="D45" s="97">
        <f>1175727*(1/1000)</f>
        <v>1175.7270000000001</v>
      </c>
      <c r="E45" s="97">
        <f>1113322*(1/1000)</f>
        <v>1113.3220000000001</v>
      </c>
      <c r="F45" s="97">
        <f>944960*(1/1000)</f>
        <v>944.96</v>
      </c>
      <c r="G45" s="97">
        <f>704968*(1/1000)</f>
        <v>704.96799999999996</v>
      </c>
      <c r="H45" s="97">
        <f>415489*(1/1000)</f>
        <v>415.48900000000003</v>
      </c>
      <c r="I45" s="97">
        <f>466701*(1/1000)</f>
        <v>466.70100000000002</v>
      </c>
      <c r="J45" s="97">
        <f>386387*(1/1000)</f>
        <v>386.387</v>
      </c>
      <c r="L45" s="96">
        <f>(J45/I45-1)*100</f>
        <v>-17.208876775494375</v>
      </c>
      <c r="M45" s="96">
        <f t="shared" ref="M45:M47" si="7">(J45/D45-1)*100</f>
        <v>-67.136333519601067</v>
      </c>
    </row>
    <row r="46" spans="2:13">
      <c r="C46" s="63" t="s">
        <v>315</v>
      </c>
      <c r="D46" s="97">
        <f>2539244*(1/1000)</f>
        <v>2539.2440000000001</v>
      </c>
      <c r="E46" s="97">
        <f>2325776*(1/1000)</f>
        <v>2325.7759999999998</v>
      </c>
      <c r="F46" s="97">
        <f>1843505*(1/1000)</f>
        <v>1843.5050000000001</v>
      </c>
      <c r="G46" s="97">
        <f>1479872*(1/1000)</f>
        <v>1479.8720000000001</v>
      </c>
      <c r="H46" s="97">
        <f>1091192*(1/1000)</f>
        <v>1091.192</v>
      </c>
      <c r="I46" s="97">
        <f>1759449*(1/1000)</f>
        <v>1759.4490000000001</v>
      </c>
      <c r="J46" s="97">
        <f>1502682*(1/1000)</f>
        <v>1502.682</v>
      </c>
      <c r="L46" s="96">
        <f>(J46/I46-1)*100</f>
        <v>-14.593602883630052</v>
      </c>
      <c r="M46" s="96">
        <f t="shared" si="7"/>
        <v>-40.821677633185317</v>
      </c>
    </row>
    <row r="47" spans="2:13">
      <c r="C47" s="63" t="s">
        <v>316</v>
      </c>
      <c r="D47" s="97">
        <f>2538265*(1/1000)</f>
        <v>2538.2649999999999</v>
      </c>
      <c r="E47" s="97">
        <f>2152254*(1/1000)</f>
        <v>2152.2539999999999</v>
      </c>
      <c r="F47" s="97">
        <f>1582022*(1/1000)</f>
        <v>1582.0219999999999</v>
      </c>
      <c r="G47" s="97">
        <f>1352362*(1/1000)</f>
        <v>1352.3620000000001</v>
      </c>
      <c r="H47" s="97">
        <f>1178690*(1/1000)</f>
        <v>1178.69</v>
      </c>
      <c r="I47" s="97">
        <f>2583555*(1/1000)</f>
        <v>2583.5549999999998</v>
      </c>
      <c r="J47" s="97">
        <f>2359162*(1/1000)</f>
        <v>2359.1620000000003</v>
      </c>
      <c r="L47" s="96">
        <f>(J47/I47-1)*100</f>
        <v>-8.6854353787707126</v>
      </c>
      <c r="M47" s="96">
        <f t="shared" si="7"/>
        <v>-7.0561190419439868</v>
      </c>
    </row>
    <row r="48" spans="2:13">
      <c r="D48" s="97"/>
      <c r="E48" s="97"/>
      <c r="F48" s="97"/>
      <c r="G48" s="97"/>
      <c r="H48" s="97"/>
      <c r="I48" s="97"/>
      <c r="J48" s="97"/>
    </row>
    <row r="49" spans="2:13">
      <c r="C49" s="63" t="s">
        <v>324</v>
      </c>
      <c r="D49" s="97"/>
      <c r="E49" s="97"/>
      <c r="F49" s="97"/>
      <c r="G49" s="97"/>
      <c r="H49" s="97"/>
      <c r="I49" s="97"/>
      <c r="J49" s="97"/>
    </row>
    <row r="50" spans="2:13">
      <c r="C50" s="63" t="s">
        <v>325</v>
      </c>
      <c r="D50" s="97">
        <f>1701040*(1/1000)</f>
        <v>1701.04</v>
      </c>
      <c r="E50" s="97">
        <f>1610194*(1/1000)</f>
        <v>1610.194</v>
      </c>
      <c r="F50" s="97">
        <f>1330636*(1/1000)</f>
        <v>1330.636</v>
      </c>
      <c r="G50" s="97">
        <f>947386*(1/1000)</f>
        <v>947.38599999999997</v>
      </c>
      <c r="H50" s="97">
        <f>482348*(1/1000)</f>
        <v>482.34800000000001</v>
      </c>
      <c r="I50" s="97">
        <f>582781*(1/1000)</f>
        <v>582.78100000000006</v>
      </c>
      <c r="J50" s="97">
        <f>531424*(1/1000)</f>
        <v>531.42399999999998</v>
      </c>
      <c r="L50" s="96">
        <f>(J50/I50-1)*100</f>
        <v>-8.8124012279055197</v>
      </c>
      <c r="M50" s="96">
        <f t="shared" ref="M50:M52" si="8">(J50/D50-1)*100</f>
        <v>-68.75887692235338</v>
      </c>
    </row>
    <row r="51" spans="2:13">
      <c r="C51" s="63" t="s">
        <v>326</v>
      </c>
      <c r="D51" s="97">
        <f>3180904*(1/1000)</f>
        <v>3180.904</v>
      </c>
      <c r="E51" s="97">
        <f>2823366*(1/1000)</f>
        <v>2823.366</v>
      </c>
      <c r="F51" s="97">
        <f>2164167*(1/1000)</f>
        <v>2164.1669999999999</v>
      </c>
      <c r="G51" s="97">
        <f>1811274*(1/1000)</f>
        <v>1811.2740000000001</v>
      </c>
      <c r="H51" s="97">
        <f>1462491*(1/1000)</f>
        <v>1462.491</v>
      </c>
      <c r="I51" s="97">
        <f>2768721*(1/1000)</f>
        <v>2768.721</v>
      </c>
      <c r="J51" s="97">
        <f>2450707*(1/1000)</f>
        <v>2450.7069999999999</v>
      </c>
      <c r="L51" s="96">
        <f>(J51/I51-1)*100</f>
        <v>-11.485953261451776</v>
      </c>
      <c r="M51" s="96">
        <f t="shared" si="8"/>
        <v>-22.955644055903612</v>
      </c>
    </row>
    <row r="52" spans="2:13">
      <c r="C52" s="63" t="s">
        <v>53</v>
      </c>
      <c r="D52" s="97">
        <f>1371292*(1/1000)</f>
        <v>1371.2919999999999</v>
      </c>
      <c r="E52" s="97">
        <f>1157792*(1/1000)</f>
        <v>1157.7919999999999</v>
      </c>
      <c r="F52" s="97">
        <f>875684*(1/1000)</f>
        <v>875.68399999999997</v>
      </c>
      <c r="G52" s="97">
        <f>778542*(1/1000)</f>
        <v>778.54200000000003</v>
      </c>
      <c r="H52" s="97">
        <f>740532*(1/1000)</f>
        <v>740.53200000000004</v>
      </c>
      <c r="I52" s="97">
        <f>1458203*(1/1000)</f>
        <v>1458.203</v>
      </c>
      <c r="J52" s="97">
        <f>1266100*(1/1000)</f>
        <v>1266.1000000000001</v>
      </c>
      <c r="L52" s="96">
        <f>(J52/I52-1)*100</f>
        <v>-13.173954517992337</v>
      </c>
      <c r="M52" s="96">
        <f t="shared" si="8"/>
        <v>-7.6710139051347053</v>
      </c>
    </row>
    <row r="53" spans="2:13">
      <c r="D53" s="97"/>
      <c r="E53" s="97"/>
      <c r="F53" s="97"/>
      <c r="G53" s="97"/>
      <c r="H53" s="97"/>
      <c r="I53" s="97"/>
      <c r="J53" s="97"/>
    </row>
    <row r="54" spans="2:13">
      <c r="C54" s="63" t="s">
        <v>327</v>
      </c>
      <c r="D54" s="97"/>
      <c r="E54" s="97"/>
      <c r="F54" s="97"/>
      <c r="G54" s="97"/>
      <c r="H54" s="97"/>
      <c r="I54" s="97"/>
      <c r="J54" s="97"/>
    </row>
    <row r="55" spans="2:13">
      <c r="C55" s="63" t="s">
        <v>328</v>
      </c>
      <c r="D55" s="97">
        <f>3591942*(1/1000)</f>
        <v>3591.942</v>
      </c>
      <c r="E55" s="97">
        <f>2980739*(1/1000)</f>
        <v>2980.739</v>
      </c>
      <c r="F55" s="97">
        <f>2239480*(1/1000)</f>
        <v>2239.48</v>
      </c>
      <c r="G55" s="97">
        <f>2012643*(1/1000)</f>
        <v>2012.643</v>
      </c>
      <c r="H55" s="97">
        <f>1862129*(1/1000)</f>
        <v>1862.1290000000001</v>
      </c>
      <c r="I55" s="97">
        <f>3801287*(1/1000)</f>
        <v>3801.2870000000003</v>
      </c>
      <c r="J55" s="97">
        <f>3382562*(1/1000)</f>
        <v>3382.5619999999999</v>
      </c>
      <c r="L55" s="96">
        <f>(J55/I55-1)*100</f>
        <v>-11.015348222851905</v>
      </c>
      <c r="M55" s="96">
        <f t="shared" ref="M55:M57" si="9">(J55/D55-1)*100</f>
        <v>-5.8291587113600389</v>
      </c>
    </row>
    <row r="56" spans="2:13">
      <c r="C56" s="63" t="s">
        <v>329</v>
      </c>
      <c r="D56" s="97">
        <f>1172070*(1/1000)</f>
        <v>1172.07</v>
      </c>
      <c r="E56" s="97">
        <f>1082976*(1/1000)</f>
        <v>1082.9760000000001</v>
      </c>
      <c r="F56" s="97">
        <f>849927*(1/1000)</f>
        <v>849.92700000000002</v>
      </c>
      <c r="G56" s="97">
        <f>663145*(1/1000)</f>
        <v>663.14499999999998</v>
      </c>
      <c r="H56" s="97">
        <f>446849*(1/1000)</f>
        <v>446.84899999999999</v>
      </c>
      <c r="I56" s="97">
        <f>634351*(1/1000)</f>
        <v>634.351</v>
      </c>
      <c r="J56" s="97">
        <f>550545*(1/1000)</f>
        <v>550.54499999999996</v>
      </c>
      <c r="L56" s="96">
        <f>(J56/I56-1)*100</f>
        <v>-13.21129784614512</v>
      </c>
      <c r="M56" s="96">
        <f t="shared" si="9"/>
        <v>-53.027976144769504</v>
      </c>
    </row>
    <row r="57" spans="2:13">
      <c r="C57" s="63" t="s">
        <v>330</v>
      </c>
      <c r="D57" s="97">
        <f>1489224*(1/1000)</f>
        <v>1489.2239999999999</v>
      </c>
      <c r="E57" s="97">
        <f>1527637*(1/1000)</f>
        <v>1527.6369999999999</v>
      </c>
      <c r="F57" s="97">
        <f>1281080*(1/1000)</f>
        <v>1281.08</v>
      </c>
      <c r="G57" s="97">
        <f>861414*(1/1000)</f>
        <v>861.41399999999999</v>
      </c>
      <c r="H57" s="97">
        <f>376393*(1/1000)</f>
        <v>376.39300000000003</v>
      </c>
      <c r="I57" s="97">
        <f>374067*(1/1000)</f>
        <v>374.06700000000001</v>
      </c>
      <c r="J57" s="97">
        <f>315124*(1/1000)</f>
        <v>315.12400000000002</v>
      </c>
      <c r="L57" s="96">
        <f>(J57/I57-1)*100</f>
        <v>-15.757337589255393</v>
      </c>
      <c r="M57" s="96">
        <f t="shared" si="9"/>
        <v>-78.839717866486168</v>
      </c>
    </row>
    <row r="58" spans="2:13">
      <c r="D58" s="97"/>
      <c r="E58" s="97"/>
      <c r="F58" s="97"/>
      <c r="G58" s="97"/>
      <c r="H58" s="97"/>
      <c r="I58" s="97"/>
      <c r="J58" s="97"/>
    </row>
    <row r="59" spans="2:13" ht="81" customHeight="1">
      <c r="B59" s="271" t="s">
        <v>331</v>
      </c>
      <c r="C59" s="271"/>
      <c r="D59" s="271"/>
      <c r="E59" s="271"/>
      <c r="F59" s="271"/>
      <c r="G59" s="271"/>
      <c r="H59" s="271"/>
      <c r="I59" s="271"/>
      <c r="J59" s="271"/>
      <c r="K59" s="271"/>
      <c r="L59" s="271"/>
      <c r="M59" s="271"/>
    </row>
    <row r="60" spans="2:13">
      <c r="B60" s="63" t="s">
        <v>322</v>
      </c>
    </row>
    <row r="61" spans="2:13">
      <c r="B61" s="65"/>
    </row>
  </sheetData>
  <mergeCells count="2">
    <mergeCell ref="L4:M4"/>
    <mergeCell ref="B59:M59"/>
  </mergeCells>
  <pageMargins left="0.7" right="0.7" top="0.75" bottom="0.75" header="0.3" footer="0.3"/>
  <pageSetup scale="72"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B2:AJ54"/>
  <sheetViews>
    <sheetView workbookViewId="0">
      <selection activeCell="B2" sqref="B2"/>
    </sheetView>
  </sheetViews>
  <sheetFormatPr defaultRowHeight="15"/>
  <cols>
    <col min="1" max="1" width="3.140625" style="65" customWidth="1"/>
    <col min="2" max="2" width="4" style="63" customWidth="1"/>
    <col min="3" max="3" width="21.7109375" style="63" bestFit="1" customWidth="1"/>
    <col min="4" max="4" width="9.7109375" style="63" customWidth="1"/>
    <col min="5" max="10" width="10.5703125" style="63" bestFit="1" customWidth="1"/>
    <col min="11" max="11" width="2.28515625" style="63" customWidth="1"/>
    <col min="12" max="12" width="7.7109375" style="92" bestFit="1" customWidth="1"/>
    <col min="13" max="13" width="8.5703125" style="92" customWidth="1"/>
    <col min="14" max="17" width="13.28515625" style="65" bestFit="1" customWidth="1"/>
    <col min="18" max="16384" width="9.140625" style="65"/>
  </cols>
  <sheetData>
    <row r="2" spans="2:36">
      <c r="B2" s="64" t="s">
        <v>333</v>
      </c>
    </row>
    <row r="4" spans="2:36">
      <c r="B4" s="64"/>
      <c r="C4" s="64"/>
      <c r="D4" s="64" t="s">
        <v>306</v>
      </c>
      <c r="E4" s="64"/>
      <c r="F4" s="64"/>
      <c r="G4" s="64"/>
      <c r="H4" s="64"/>
      <c r="I4" s="64"/>
      <c r="J4" s="64"/>
      <c r="L4" s="270" t="s">
        <v>193</v>
      </c>
      <c r="M4" s="270"/>
    </row>
    <row r="5" spans="2:36">
      <c r="B5" s="64" t="s">
        <v>307</v>
      </c>
      <c r="C5" s="64"/>
      <c r="D5" s="64">
        <v>2004</v>
      </c>
      <c r="E5" s="64">
        <v>2005</v>
      </c>
      <c r="F5" s="64">
        <v>2006</v>
      </c>
      <c r="G5" s="64">
        <v>2007</v>
      </c>
      <c r="H5" s="64">
        <v>2008</v>
      </c>
      <c r="I5" s="64">
        <v>2009</v>
      </c>
      <c r="J5" s="64">
        <v>2010</v>
      </c>
      <c r="L5" s="93" t="s">
        <v>308</v>
      </c>
      <c r="M5" s="93" t="s">
        <v>309</v>
      </c>
    </row>
    <row r="6" spans="2:36" s="63" customFormat="1">
      <c r="B6" s="64"/>
      <c r="C6" s="94" t="s">
        <v>310</v>
      </c>
      <c r="D6" s="64"/>
      <c r="E6" s="64"/>
      <c r="F6" s="64"/>
      <c r="G6" s="64"/>
      <c r="H6" s="64"/>
      <c r="I6" s="64"/>
      <c r="J6" s="64"/>
      <c r="L6" s="93"/>
      <c r="M6" s="93"/>
      <c r="N6" s="65"/>
      <c r="O6" s="65"/>
      <c r="P6" s="95"/>
      <c r="Q6" s="95"/>
      <c r="R6" s="95"/>
      <c r="S6" s="95"/>
      <c r="T6" s="95"/>
      <c r="U6" s="95"/>
      <c r="V6" s="95"/>
      <c r="W6" s="95"/>
      <c r="X6" s="95"/>
      <c r="Y6" s="95"/>
      <c r="Z6" s="95"/>
      <c r="AA6" s="95"/>
      <c r="AB6" s="95"/>
      <c r="AC6" s="95"/>
      <c r="AD6" s="95"/>
      <c r="AE6" s="95"/>
      <c r="AF6" s="95"/>
      <c r="AG6" s="95"/>
      <c r="AH6" s="95"/>
      <c r="AI6" s="95"/>
      <c r="AJ6" s="95"/>
    </row>
    <row r="7" spans="2:36">
      <c r="C7" s="63" t="s">
        <v>311</v>
      </c>
      <c r="D7" s="48">
        <f>4945343*(1/1000)</f>
        <v>4945.3429999999998</v>
      </c>
      <c r="E7" s="48">
        <f>5268113*(1/1000)</f>
        <v>5268.1130000000003</v>
      </c>
      <c r="F7" s="48">
        <f>4608921*(1/1000)</f>
        <v>4608.9210000000003</v>
      </c>
      <c r="G7" s="48">
        <f>3477662*(1/1000)</f>
        <v>3477.6620000000003</v>
      </c>
      <c r="H7" s="48">
        <f>2576422*(1/1000)</f>
        <v>2576.422</v>
      </c>
      <c r="I7" s="48">
        <f>2363789*(1/1000)</f>
        <v>2363.7890000000002</v>
      </c>
      <c r="J7" s="48">
        <f>2168992*(1/1000)</f>
        <v>2168.9920000000002</v>
      </c>
      <c r="L7" s="96">
        <f>(J7/I7-1)*100</f>
        <v>-8.2408793678285122</v>
      </c>
      <c r="M7" s="96">
        <f t="shared" ref="M7:M8" si="0">(J7/D7-1)*100</f>
        <v>-56.140716629766629</v>
      </c>
      <c r="P7" s="95"/>
      <c r="Q7" s="95"/>
      <c r="R7" s="95"/>
      <c r="S7" s="95"/>
      <c r="T7" s="95"/>
      <c r="U7" s="95"/>
      <c r="V7" s="95"/>
      <c r="W7" s="95"/>
      <c r="X7" s="95"/>
      <c r="Y7" s="95"/>
      <c r="Z7" s="95"/>
      <c r="AA7" s="95"/>
      <c r="AB7" s="95"/>
      <c r="AC7" s="95"/>
      <c r="AD7" s="95"/>
      <c r="AE7" s="95"/>
      <c r="AF7" s="95"/>
      <c r="AG7" s="95"/>
      <c r="AH7" s="95"/>
      <c r="AI7" s="95"/>
      <c r="AJ7" s="95"/>
    </row>
    <row r="8" spans="2:36">
      <c r="C8" s="63" t="s">
        <v>312</v>
      </c>
      <c r="D8" s="48">
        <f>6253236*(1/1000)</f>
        <v>6253.2359999999999</v>
      </c>
      <c r="E8" s="48">
        <f>5591352*(1/1000)</f>
        <v>5591.3519999999999</v>
      </c>
      <c r="F8" s="48">
        <f>4370487*(1/1000)</f>
        <v>4370.4870000000001</v>
      </c>
      <c r="G8" s="48">
        <f>3537202*(1/1000)</f>
        <v>3537.2020000000002</v>
      </c>
      <c r="H8" s="48">
        <f>2685371*(1/1000)</f>
        <v>2685.3710000000001</v>
      </c>
      <c r="I8" s="48">
        <f>4809705*(1/1000)</f>
        <v>4809.7049999999999</v>
      </c>
      <c r="J8" s="48">
        <f>4248231*(1/1000)</f>
        <v>4248.2309999999998</v>
      </c>
      <c r="L8" s="96">
        <f>(J8/I8-1)*100</f>
        <v>-11.673772092051383</v>
      </c>
      <c r="M8" s="96">
        <f t="shared" si="0"/>
        <v>-32.063478813209677</v>
      </c>
      <c r="P8" s="95"/>
      <c r="Q8" s="95"/>
      <c r="R8" s="95"/>
      <c r="S8" s="95"/>
      <c r="T8" s="95"/>
      <c r="U8" s="95"/>
      <c r="V8" s="95"/>
      <c r="W8" s="95"/>
      <c r="X8" s="95"/>
      <c r="Y8" s="95"/>
      <c r="Z8" s="95"/>
      <c r="AA8" s="95"/>
      <c r="AB8" s="95"/>
      <c r="AC8" s="95"/>
      <c r="AD8" s="95"/>
      <c r="AE8" s="95"/>
      <c r="AF8" s="95"/>
      <c r="AG8" s="95"/>
      <c r="AH8" s="95"/>
      <c r="AI8" s="95"/>
      <c r="AJ8" s="95"/>
    </row>
    <row r="9" spans="2:36">
      <c r="D9" s="97"/>
      <c r="E9" s="97"/>
      <c r="F9" s="97"/>
      <c r="G9" s="97"/>
      <c r="H9" s="97"/>
      <c r="I9" s="97"/>
      <c r="J9" s="97"/>
      <c r="L9" s="96"/>
      <c r="M9" s="96"/>
      <c r="P9" s="95"/>
      <c r="Q9" s="95"/>
      <c r="R9" s="95"/>
      <c r="S9" s="95"/>
      <c r="T9" s="95"/>
      <c r="U9" s="95"/>
      <c r="V9" s="95"/>
      <c r="W9" s="95"/>
      <c r="X9" s="95"/>
      <c r="Y9" s="95"/>
      <c r="Z9" s="95"/>
      <c r="AA9" s="95"/>
      <c r="AB9" s="95"/>
      <c r="AC9" s="95"/>
      <c r="AD9" s="95"/>
      <c r="AE9" s="95"/>
      <c r="AF9" s="95"/>
      <c r="AG9" s="95"/>
      <c r="AH9" s="95"/>
      <c r="AI9" s="95"/>
      <c r="AJ9" s="95"/>
    </row>
    <row r="10" spans="2:36">
      <c r="C10" s="63" t="s">
        <v>313</v>
      </c>
      <c r="D10" s="97"/>
      <c r="E10" s="97"/>
      <c r="F10" s="97"/>
      <c r="G10" s="97"/>
      <c r="H10" s="97"/>
      <c r="I10" s="97"/>
      <c r="J10" s="97"/>
      <c r="P10" s="95"/>
      <c r="Q10" s="95"/>
      <c r="R10" s="95"/>
      <c r="S10" s="95"/>
      <c r="T10" s="95"/>
      <c r="U10" s="95"/>
      <c r="V10" s="95"/>
      <c r="W10" s="95"/>
      <c r="X10" s="95"/>
      <c r="Y10" s="95"/>
      <c r="Z10" s="95"/>
      <c r="AA10" s="95"/>
      <c r="AB10" s="95"/>
      <c r="AC10" s="95"/>
      <c r="AD10" s="95"/>
      <c r="AE10" s="95"/>
      <c r="AF10" s="95"/>
      <c r="AG10" s="95"/>
      <c r="AH10" s="95"/>
      <c r="AI10" s="95"/>
      <c r="AJ10" s="95"/>
    </row>
    <row r="11" spans="2:36">
      <c r="C11" s="63" t="s">
        <v>314</v>
      </c>
      <c r="D11" s="48">
        <f>2872427*(1/1000)</f>
        <v>2872.4270000000001</v>
      </c>
      <c r="E11" s="48">
        <f>2543317*(1/1000)</f>
        <v>2543.317</v>
      </c>
      <c r="F11" s="48">
        <f>2000261*(1/1000)</f>
        <v>2000.261</v>
      </c>
      <c r="G11" s="48">
        <f>1577593*(1/1000)</f>
        <v>1577.5930000000001</v>
      </c>
      <c r="H11" s="48">
        <f>1309033*(1/1000)</f>
        <v>1309.0330000000001</v>
      </c>
      <c r="I11" s="48">
        <f>1785594*(1/1000)</f>
        <v>1785.5940000000001</v>
      </c>
      <c r="J11" s="48">
        <f>1531487*(1/1000)</f>
        <v>1531.4870000000001</v>
      </c>
      <c r="L11" s="96">
        <f>(J11/I11-1)*100</f>
        <v>-14.230950596832203</v>
      </c>
      <c r="M11" s="96">
        <f t="shared" ref="M11:M14" si="1">(J11/D11-1)*100</f>
        <v>-46.683170712432378</v>
      </c>
      <c r="P11" s="95"/>
      <c r="Q11" s="95"/>
      <c r="R11" s="95"/>
      <c r="S11" s="95"/>
      <c r="T11" s="95"/>
      <c r="U11" s="95"/>
      <c r="V11" s="95"/>
      <c r="W11" s="95"/>
      <c r="X11" s="95"/>
      <c r="Y11" s="95"/>
      <c r="Z11" s="95"/>
      <c r="AA11" s="95"/>
      <c r="AB11" s="95"/>
      <c r="AC11" s="95"/>
      <c r="AD11" s="95"/>
      <c r="AE11" s="95"/>
      <c r="AF11" s="95"/>
      <c r="AG11" s="95"/>
      <c r="AH11" s="95"/>
      <c r="AI11" s="95"/>
      <c r="AJ11" s="95"/>
    </row>
    <row r="12" spans="2:36">
      <c r="C12" s="63" t="s">
        <v>315</v>
      </c>
      <c r="D12" s="48">
        <f>2871964*(1/1000)</f>
        <v>2871.9639999999999</v>
      </c>
      <c r="E12" s="48">
        <f>2699198*(1/1000)</f>
        <v>2699.1979999999999</v>
      </c>
      <c r="F12" s="48">
        <f>2136417*(1/1000)</f>
        <v>2136.4169999999999</v>
      </c>
      <c r="G12" s="48">
        <f>1672030*(1/1000)</f>
        <v>1672.03</v>
      </c>
      <c r="H12" s="48">
        <f>1328207*(1/1000)</f>
        <v>1328.2070000000001</v>
      </c>
      <c r="I12" s="48">
        <f>1676089*(1/1000)</f>
        <v>1676.0889999999999</v>
      </c>
      <c r="J12" s="48">
        <f>1467816*(1/1000)</f>
        <v>1467.816</v>
      </c>
      <c r="L12" s="96">
        <f>(J12/I12-1)*100</f>
        <v>-12.426130116002188</v>
      </c>
      <c r="M12" s="96">
        <f t="shared" si="1"/>
        <v>-48.891559922060303</v>
      </c>
    </row>
    <row r="13" spans="2:36">
      <c r="C13" s="63" t="s">
        <v>316</v>
      </c>
      <c r="D13" s="48">
        <f>4711444*(1/1000)</f>
        <v>4711.4440000000004</v>
      </c>
      <c r="E13" s="48">
        <f>4962630*(1/1000)</f>
        <v>4962.63</v>
      </c>
      <c r="F13" s="48">
        <f>4320762*(1/1000)</f>
        <v>4320.7619999999997</v>
      </c>
      <c r="G13" s="48">
        <f>3440980*(1/1000)</f>
        <v>3440.98</v>
      </c>
      <c r="H13" s="48">
        <f>2393046*(1/1000)</f>
        <v>2393.0460000000003</v>
      </c>
      <c r="I13" s="48">
        <f>3102546*(1/1000)</f>
        <v>3102.5460000000003</v>
      </c>
      <c r="J13" s="48">
        <f>3006829*(1/1000)</f>
        <v>3006.8290000000002</v>
      </c>
      <c r="L13" s="96">
        <f>(J13/I13-1)*100</f>
        <v>-3.0851113891623205</v>
      </c>
      <c r="M13" s="96">
        <f t="shared" si="1"/>
        <v>-36.180309051747194</v>
      </c>
    </row>
    <row r="14" spans="2:36">
      <c r="C14" s="98" t="s">
        <v>317</v>
      </c>
      <c r="D14" s="48">
        <f>742744*(1/1000)</f>
        <v>742.74400000000003</v>
      </c>
      <c r="E14" s="48">
        <f>654320*(1/1000)</f>
        <v>654.32000000000005</v>
      </c>
      <c r="F14" s="48">
        <f>521968*(1/1000)</f>
        <v>521.96799999999996</v>
      </c>
      <c r="G14" s="48">
        <f>324261*(1/1000)</f>
        <v>324.26100000000002</v>
      </c>
      <c r="H14" s="48">
        <f>231507*(1/1000)</f>
        <v>231.50700000000001</v>
      </c>
      <c r="I14" s="48">
        <f>609265*(1/1000)</f>
        <v>609.26499999999999</v>
      </c>
      <c r="J14" s="48">
        <f>411091*(1/1000)</f>
        <v>411.09100000000001</v>
      </c>
      <c r="L14" s="96">
        <f>(J14/I14-1)*100</f>
        <v>-32.526733030782992</v>
      </c>
      <c r="M14" s="96">
        <f t="shared" si="1"/>
        <v>-44.652397057397977</v>
      </c>
    </row>
    <row r="15" spans="2:36">
      <c r="D15" s="97"/>
      <c r="E15" s="97"/>
      <c r="F15" s="97"/>
      <c r="G15" s="97"/>
      <c r="H15" s="97"/>
      <c r="I15" s="97"/>
      <c r="J15" s="97"/>
    </row>
    <row r="16" spans="2:36">
      <c r="C16" s="63" t="s">
        <v>318</v>
      </c>
      <c r="D16" s="97"/>
      <c r="E16" s="97"/>
      <c r="F16" s="97"/>
      <c r="G16" s="97"/>
      <c r="H16" s="97"/>
      <c r="I16" s="97"/>
      <c r="J16" s="97"/>
    </row>
    <row r="17" spans="2:13">
      <c r="C17" s="65" t="s">
        <v>53</v>
      </c>
      <c r="D17" s="48">
        <f>7226801*(1/1000)</f>
        <v>7226.8010000000004</v>
      </c>
      <c r="E17" s="48">
        <f>6826718*(1/1000)</f>
        <v>6826.7179999999998</v>
      </c>
      <c r="F17" s="48">
        <f>5438305*(1/1000)</f>
        <v>5438.3050000000003</v>
      </c>
      <c r="G17" s="48">
        <f>4490915*(1/1000)</f>
        <v>4490.915</v>
      </c>
      <c r="H17" s="48">
        <f>3656344*(1/1000)</f>
        <v>3656.3440000000001</v>
      </c>
      <c r="I17" s="48">
        <f>5257059*(1/1000)</f>
        <v>5257.0590000000002</v>
      </c>
      <c r="J17" s="48">
        <f>4672234*(1/1000)</f>
        <v>4672.2340000000004</v>
      </c>
      <c r="L17" s="96">
        <f>(J17/I17-1)*100</f>
        <v>-11.124566035876715</v>
      </c>
      <c r="M17" s="96">
        <f t="shared" ref="M17:M21" si="2">(J17/D17-1)*100</f>
        <v>-35.348517276177937</v>
      </c>
    </row>
    <row r="18" spans="2:13">
      <c r="C18" s="65" t="s">
        <v>51</v>
      </c>
      <c r="D18" s="48">
        <f>871272*(1/1000)</f>
        <v>871.27200000000005</v>
      </c>
      <c r="E18" s="48">
        <f>931095*(1/1000)</f>
        <v>931.09500000000003</v>
      </c>
      <c r="F18" s="48">
        <f>879397*(1/1000)</f>
        <v>879.39700000000005</v>
      </c>
      <c r="G18" s="48">
        <f>600583*(1/1000)</f>
        <v>600.58299999999997</v>
      </c>
      <c r="H18" s="48">
        <f>342897*(1/1000)</f>
        <v>342.89699999999999</v>
      </c>
      <c r="I18" s="48">
        <f>320348*(1/1000)</f>
        <v>320.34800000000001</v>
      </c>
      <c r="J18" s="48">
        <f>264388*(1/1000)</f>
        <v>264.38800000000003</v>
      </c>
      <c r="L18" s="96">
        <f>(J18/I18-1)*100</f>
        <v>-17.468503002984249</v>
      </c>
      <c r="M18" s="96">
        <f t="shared" si="2"/>
        <v>-69.654941281253159</v>
      </c>
    </row>
    <row r="19" spans="2:13">
      <c r="C19" s="65" t="s">
        <v>52</v>
      </c>
      <c r="D19" s="48">
        <f>1160022*(1/1000)</f>
        <v>1160.0219999999999</v>
      </c>
      <c r="E19" s="48">
        <f>1293369*(1/1000)</f>
        <v>1293.3689999999999</v>
      </c>
      <c r="F19" s="48">
        <f>1191284*(1/1000)</f>
        <v>1191.2840000000001</v>
      </c>
      <c r="G19" s="48">
        <f>756010*(1/1000)</f>
        <v>756.01</v>
      </c>
      <c r="H19" s="48">
        <f>408913*(1/1000)</f>
        <v>408.91300000000001</v>
      </c>
      <c r="I19" s="48">
        <f>421322*(1/1000)</f>
        <v>421.322</v>
      </c>
      <c r="J19" s="48">
        <f>377803*(1/1000)</f>
        <v>377.803</v>
      </c>
      <c r="L19" s="96">
        <f>(J19/I19-1)*100</f>
        <v>-10.329154423457599</v>
      </c>
      <c r="M19" s="96">
        <f t="shared" si="2"/>
        <v>-67.43139354253627</v>
      </c>
    </row>
    <row r="20" spans="2:13">
      <c r="C20" s="65" t="s">
        <v>82</v>
      </c>
      <c r="D20" s="48">
        <f>612452*(1/1000)</f>
        <v>612.452</v>
      </c>
      <c r="E20" s="48">
        <f>582891*(1/1000)</f>
        <v>582.89099999999996</v>
      </c>
      <c r="F20" s="48">
        <f>460282*(1/1000)</f>
        <v>460.28199999999998</v>
      </c>
      <c r="G20" s="48">
        <f>358876*(1/1000)</f>
        <v>358.87600000000003</v>
      </c>
      <c r="H20" s="48">
        <f>277174*(1/1000)</f>
        <v>277.17399999999998</v>
      </c>
      <c r="I20" s="48">
        <f>419656*(1/1000)</f>
        <v>419.65600000000001</v>
      </c>
      <c r="J20" s="48">
        <f>436938*(1/1000)</f>
        <v>436.93799999999999</v>
      </c>
      <c r="L20" s="96">
        <f t="shared" ref="L20:L21" si="3">(J20/I20-1)*100</f>
        <v>4.1181348533084305</v>
      </c>
      <c r="M20" s="96">
        <f t="shared" si="2"/>
        <v>-28.657592758289631</v>
      </c>
    </row>
    <row r="21" spans="2:13">
      <c r="C21" s="65" t="s">
        <v>319</v>
      </c>
      <c r="D21" s="48">
        <f>1328032*(1/1000)</f>
        <v>1328.0319999999999</v>
      </c>
      <c r="E21" s="48">
        <f>1225392*(1/1000)</f>
        <v>1225.3920000000001</v>
      </c>
      <c r="F21" s="48">
        <f>1010140*(1/1000)</f>
        <v>1010.14</v>
      </c>
      <c r="G21" s="48">
        <f>808480*(1/1000)</f>
        <v>808.48</v>
      </c>
      <c r="H21" s="48">
        <f>576465*(1/1000)</f>
        <v>576.46500000000003</v>
      </c>
      <c r="I21" s="48">
        <f>755109*(1/1000)</f>
        <v>755.10900000000004</v>
      </c>
      <c r="J21" s="48">
        <f>665860*(1/1000)</f>
        <v>665.86</v>
      </c>
      <c r="L21" s="96">
        <f t="shared" si="3"/>
        <v>-11.819353232447238</v>
      </c>
      <c r="M21" s="96">
        <f t="shared" si="2"/>
        <v>-49.861147924146401</v>
      </c>
    </row>
    <row r="22" spans="2:13">
      <c r="D22" s="48"/>
      <c r="E22" s="48"/>
      <c r="F22" s="48"/>
      <c r="G22" s="48"/>
      <c r="H22" s="48"/>
      <c r="I22" s="48"/>
      <c r="J22" s="48"/>
      <c r="L22" s="96"/>
      <c r="M22" s="96"/>
    </row>
    <row r="23" spans="2:13">
      <c r="C23" s="99" t="s">
        <v>320</v>
      </c>
      <c r="D23" s="100">
        <f>11198579*(1/1000)</f>
        <v>11198.579</v>
      </c>
      <c r="E23" s="100">
        <f>10859465*(1/1000)</f>
        <v>10859.465</v>
      </c>
      <c r="F23" s="100">
        <f>8979408*(1/1000)</f>
        <v>8979.4079999999994</v>
      </c>
      <c r="G23" s="100">
        <f>7014864*(1/1000)</f>
        <v>7014.8640000000005</v>
      </c>
      <c r="H23" s="100">
        <f>5261793*(1/1000)</f>
        <v>5261.7929999999997</v>
      </c>
      <c r="I23" s="100">
        <f>7173494*(1/1000)</f>
        <v>7173.4940000000006</v>
      </c>
      <c r="J23" s="100">
        <f>6417223*(1/1000)</f>
        <v>6417.223</v>
      </c>
      <c r="K23" s="99"/>
      <c r="L23" s="101">
        <f>(J23/I23-1)*100</f>
        <v>-10.542575208120342</v>
      </c>
      <c r="M23" s="101">
        <f>(J23/D23-1)*100</f>
        <v>-42.696095638562717</v>
      </c>
    </row>
    <row r="24" spans="2:13">
      <c r="D24" s="102"/>
      <c r="E24" s="102"/>
      <c r="F24" s="102"/>
      <c r="G24" s="102"/>
      <c r="H24" s="102"/>
      <c r="I24" s="102"/>
      <c r="J24" s="102"/>
      <c r="L24" s="93"/>
      <c r="M24" s="93"/>
    </row>
    <row r="25" spans="2:13">
      <c r="B25" s="64" t="s">
        <v>311</v>
      </c>
      <c r="C25" s="64"/>
      <c r="D25" s="64">
        <v>2004</v>
      </c>
      <c r="E25" s="64">
        <v>2005</v>
      </c>
      <c r="F25" s="64">
        <v>2006</v>
      </c>
      <c r="G25" s="64">
        <v>2007</v>
      </c>
      <c r="H25" s="64">
        <v>2008</v>
      </c>
      <c r="I25" s="64">
        <v>2009</v>
      </c>
      <c r="J25" s="64">
        <v>2010</v>
      </c>
      <c r="L25" s="93" t="s">
        <v>308</v>
      </c>
      <c r="M25" s="93" t="s">
        <v>309</v>
      </c>
    </row>
    <row r="26" spans="2:13">
      <c r="C26" s="63" t="s">
        <v>313</v>
      </c>
      <c r="D26" s="102"/>
      <c r="E26" s="102"/>
      <c r="F26" s="102"/>
      <c r="G26" s="102"/>
      <c r="H26" s="102"/>
      <c r="I26" s="102"/>
      <c r="J26" s="102"/>
    </row>
    <row r="27" spans="2:13">
      <c r="C27" s="63" t="s">
        <v>314</v>
      </c>
      <c r="D27" s="48">
        <f>1272207*(1/1000)</f>
        <v>1272.2070000000001</v>
      </c>
      <c r="E27" s="48">
        <f>1165283*(1/1000)</f>
        <v>1165.2830000000001</v>
      </c>
      <c r="F27" s="48">
        <f>982831*(1/1000)</f>
        <v>982.83100000000002</v>
      </c>
      <c r="G27" s="48">
        <f>797239*(1/1000)</f>
        <v>797.23900000000003</v>
      </c>
      <c r="H27" s="48">
        <f>689709*(1/1000)</f>
        <v>689.70900000000006</v>
      </c>
      <c r="I27" s="48">
        <f>840767*(1/1000)</f>
        <v>840.76700000000005</v>
      </c>
      <c r="J27" s="48">
        <f>739063*(1/1000)</f>
        <v>739.06299999999999</v>
      </c>
      <c r="L27" s="96">
        <f>(J27/I27-1)*100</f>
        <v>-12.096573723754622</v>
      </c>
      <c r="M27" s="96">
        <f>(J27/D27-1)*100</f>
        <v>-41.907016704042668</v>
      </c>
    </row>
    <row r="28" spans="2:13">
      <c r="C28" s="63" t="s">
        <v>315</v>
      </c>
      <c r="D28" s="48">
        <f>1252244*(1/1000)</f>
        <v>1252.2439999999999</v>
      </c>
      <c r="E28" s="48">
        <f>1240078*(1/1000)</f>
        <v>1240.078</v>
      </c>
      <c r="F28" s="48">
        <f>1044637*(1/1000)</f>
        <v>1044.6369999999999</v>
      </c>
      <c r="G28" s="48">
        <f>809295*(1/1000)</f>
        <v>809.29500000000007</v>
      </c>
      <c r="H28" s="48">
        <f>660098*(1/1000)</f>
        <v>660.09800000000007</v>
      </c>
      <c r="I28" s="48">
        <f>606795*(1/1000)</f>
        <v>606.79499999999996</v>
      </c>
      <c r="J28" s="48">
        <f>529875*(1/1000)</f>
        <v>529.875</v>
      </c>
      <c r="L28" s="96">
        <f>(J28/I28-1)*100</f>
        <v>-12.676439324648348</v>
      </c>
      <c r="M28" s="96">
        <f t="shared" ref="M28:M30" si="4">(J28/D28-1)*100</f>
        <v>-57.685962160729055</v>
      </c>
    </row>
    <row r="29" spans="2:13">
      <c r="C29" s="63" t="s">
        <v>316</v>
      </c>
      <c r="D29" s="48">
        <f>2211170*(1/1000)</f>
        <v>2211.17</v>
      </c>
      <c r="E29" s="48">
        <f>2603744*(1/1000)</f>
        <v>2603.7440000000001</v>
      </c>
      <c r="F29" s="48">
        <f>2319957*(1/1000)</f>
        <v>2319.9569999999999</v>
      </c>
      <c r="G29" s="48">
        <f>1740546*(1/1000)</f>
        <v>1740.546</v>
      </c>
      <c r="H29" s="48">
        <f>1168434*(1/1000)</f>
        <v>1168.434</v>
      </c>
      <c r="I29" s="48">
        <f>871276*(1/1000)</f>
        <v>871.27600000000007</v>
      </c>
      <c r="J29" s="48">
        <f>858708*(1/1000)</f>
        <v>858.70799999999997</v>
      </c>
      <c r="L29" s="96">
        <f>(J29/I29-1)*100</f>
        <v>-1.442482060793604</v>
      </c>
      <c r="M29" s="96">
        <f t="shared" si="4"/>
        <v>-61.164994098147133</v>
      </c>
    </row>
    <row r="30" spans="2:13">
      <c r="C30" s="98" t="s">
        <v>317</v>
      </c>
      <c r="D30" s="48">
        <f>209722*(1/1000)</f>
        <v>209.72200000000001</v>
      </c>
      <c r="E30" s="48">
        <f>259008*(1/1000)</f>
        <v>259.00799999999998</v>
      </c>
      <c r="F30" s="48">
        <f>261496*(1/1000)</f>
        <v>261.49599999999998</v>
      </c>
      <c r="G30" s="48">
        <f>130582*(1/1000)</f>
        <v>130.58199999999999</v>
      </c>
      <c r="H30" s="48">
        <f>58181*(1/1000)</f>
        <v>58.181000000000004</v>
      </c>
      <c r="I30" s="48">
        <f>44951*(1/1000)</f>
        <v>44.951000000000001</v>
      </c>
      <c r="J30" s="48">
        <f>41346*(1/1000)</f>
        <v>41.346000000000004</v>
      </c>
      <c r="L30" s="96">
        <f>(J30/I30-1)*100</f>
        <v>-8.019843829948158</v>
      </c>
      <c r="M30" s="96">
        <f t="shared" si="4"/>
        <v>-80.285330103661039</v>
      </c>
    </row>
    <row r="31" spans="2:13">
      <c r="D31" s="97"/>
      <c r="E31" s="97"/>
      <c r="F31" s="97"/>
      <c r="G31" s="97"/>
      <c r="H31" s="97"/>
      <c r="I31" s="97"/>
      <c r="J31" s="97"/>
    </row>
    <row r="32" spans="2:13">
      <c r="C32" s="63" t="s">
        <v>318</v>
      </c>
      <c r="D32" s="97"/>
      <c r="E32" s="97"/>
      <c r="F32" s="97"/>
      <c r="G32" s="97"/>
      <c r="H32" s="97"/>
      <c r="I32" s="97"/>
      <c r="J32" s="97"/>
    </row>
    <row r="33" spans="2:13">
      <c r="C33" s="65" t="s">
        <v>53</v>
      </c>
      <c r="D33" s="48">
        <f>3251487*(1/1000)</f>
        <v>3251.4870000000001</v>
      </c>
      <c r="E33" s="48">
        <f>3343258*(1/1000)</f>
        <v>3343.2580000000003</v>
      </c>
      <c r="F33" s="48">
        <f>2835674*(1/1000)</f>
        <v>2835.674</v>
      </c>
      <c r="G33" s="48">
        <f>2281328*(1/1000)</f>
        <v>2281.328</v>
      </c>
      <c r="H33" s="48">
        <f>1756893*(1/1000)</f>
        <v>1756.893</v>
      </c>
      <c r="I33" s="48">
        <f>1619592*(1/1000)</f>
        <v>1619.5920000000001</v>
      </c>
      <c r="J33" s="48">
        <f>1477313*(1/1000)</f>
        <v>1477.3130000000001</v>
      </c>
      <c r="L33" s="96">
        <f>(J33/I33-1)*100</f>
        <v>-8.7848668059610109</v>
      </c>
      <c r="M33" s="96">
        <f t="shared" ref="M33:M37" si="5">(J33/D33-1)*100</f>
        <v>-54.565003642948597</v>
      </c>
    </row>
    <row r="34" spans="2:13">
      <c r="C34" s="65" t="s">
        <v>51</v>
      </c>
      <c r="D34" s="48">
        <f>366758*(1/1000)</f>
        <v>366.75799999999998</v>
      </c>
      <c r="E34" s="48">
        <f>422976*(1/1000)</f>
        <v>422.976</v>
      </c>
      <c r="F34" s="48">
        <f>424873*(1/1000)</f>
        <v>424.87299999999999</v>
      </c>
      <c r="G34" s="48">
        <f>277991*(1/1000)</f>
        <v>277.99099999999999</v>
      </c>
      <c r="H34" s="48">
        <f>167458*(1/1000)</f>
        <v>167.458</v>
      </c>
      <c r="I34" s="48">
        <f>137460*(1/1000)</f>
        <v>137.46</v>
      </c>
      <c r="J34" s="48">
        <f>131734*(1/1000)</f>
        <v>131.73400000000001</v>
      </c>
      <c r="L34" s="96">
        <f>(J34/I34-1)*100</f>
        <v>-4.1655754401280332</v>
      </c>
      <c r="M34" s="96">
        <f t="shared" si="5"/>
        <v>-64.081492428249689</v>
      </c>
    </row>
    <row r="35" spans="2:13">
      <c r="C35" s="65" t="s">
        <v>52</v>
      </c>
      <c r="D35" s="48">
        <f>544118*(1/1000)</f>
        <v>544.11800000000005</v>
      </c>
      <c r="E35" s="48">
        <f>659961*(1/1000)</f>
        <v>659.96100000000001</v>
      </c>
      <c r="F35" s="48">
        <f>630144*(1/1000)</f>
        <v>630.14400000000001</v>
      </c>
      <c r="G35" s="48">
        <f>364923*(1/1000)</f>
        <v>364.923</v>
      </c>
      <c r="H35" s="48">
        <f>230352*(1/1000)</f>
        <v>230.352</v>
      </c>
      <c r="I35" s="48">
        <f>218311*(1/1000)</f>
        <v>218.31100000000001</v>
      </c>
      <c r="J35" s="48">
        <f>202688*(1/1000)</f>
        <v>202.68800000000002</v>
      </c>
      <c r="L35" s="96">
        <f>(J35/I35-1)*100</f>
        <v>-7.1563045380214412</v>
      </c>
      <c r="M35" s="96">
        <f t="shared" si="5"/>
        <v>-62.749256595076794</v>
      </c>
    </row>
    <row r="36" spans="2:13">
      <c r="C36" s="65" t="s">
        <v>82</v>
      </c>
      <c r="D36" s="48">
        <f>306904*(1/1000)</f>
        <v>306.904</v>
      </c>
      <c r="E36" s="48">
        <f>344119*(1/1000)</f>
        <v>344.11900000000003</v>
      </c>
      <c r="F36" s="48">
        <f>272146*(1/1000)</f>
        <v>272.14600000000002</v>
      </c>
      <c r="G36" s="48">
        <f>203625*(1/1000)</f>
        <v>203.625</v>
      </c>
      <c r="H36" s="48">
        <f>161345*(1/1000)</f>
        <v>161.345</v>
      </c>
      <c r="I36" s="48">
        <f>161437*(1/1000)</f>
        <v>161.43700000000001</v>
      </c>
      <c r="J36" s="48">
        <f>155093*(1/1000)</f>
        <v>155.09299999999999</v>
      </c>
      <c r="L36" s="96">
        <f t="shared" ref="L36:L37" si="6">(J36/I36-1)*100</f>
        <v>-3.9297063250679942</v>
      </c>
      <c r="M36" s="96">
        <f t="shared" si="5"/>
        <v>-49.465305111696168</v>
      </c>
    </row>
    <row r="37" spans="2:13">
      <c r="C37" s="65" t="s">
        <v>319</v>
      </c>
      <c r="D37" s="48">
        <f>476076*(1/1000)</f>
        <v>476.07600000000002</v>
      </c>
      <c r="E37" s="48">
        <f>497799*(1/1000)</f>
        <v>497.79900000000004</v>
      </c>
      <c r="F37" s="48">
        <f>446084*(1/1000)</f>
        <v>446.084</v>
      </c>
      <c r="G37" s="48">
        <f>349795*(1/1000)</f>
        <v>349.79500000000002</v>
      </c>
      <c r="H37" s="48">
        <f>260374*(1/1000)</f>
        <v>260.37400000000002</v>
      </c>
      <c r="I37" s="48">
        <f>226989*(1/1000)</f>
        <v>226.989</v>
      </c>
      <c r="J37" s="48">
        <f>202164*(1/1000)</f>
        <v>202.16400000000002</v>
      </c>
      <c r="L37" s="96">
        <f t="shared" si="6"/>
        <v>-10.936653318002188</v>
      </c>
      <c r="M37" s="96">
        <f t="shared" si="5"/>
        <v>-57.535351498500241</v>
      </c>
    </row>
    <row r="38" spans="2:13">
      <c r="D38" s="103"/>
      <c r="E38" s="103"/>
      <c r="F38" s="103"/>
      <c r="G38" s="103"/>
      <c r="H38" s="103"/>
      <c r="I38" s="103"/>
      <c r="J38" s="103"/>
    </row>
    <row r="39" spans="2:13">
      <c r="B39" s="64" t="s">
        <v>312</v>
      </c>
      <c r="C39" s="64"/>
      <c r="D39" s="64">
        <v>2004</v>
      </c>
      <c r="E39" s="64">
        <v>2005</v>
      </c>
      <c r="F39" s="64">
        <v>2006</v>
      </c>
      <c r="G39" s="64">
        <v>2007</v>
      </c>
      <c r="H39" s="64">
        <v>2008</v>
      </c>
      <c r="I39" s="64">
        <v>2009</v>
      </c>
      <c r="J39" s="64">
        <v>2010</v>
      </c>
      <c r="L39" s="93" t="s">
        <v>308</v>
      </c>
      <c r="M39" s="93" t="s">
        <v>309</v>
      </c>
    </row>
    <row r="40" spans="2:13">
      <c r="C40" s="63" t="s">
        <v>313</v>
      </c>
      <c r="D40" s="102"/>
      <c r="E40" s="102"/>
      <c r="F40" s="102"/>
      <c r="G40" s="102"/>
      <c r="H40" s="102"/>
      <c r="I40" s="102"/>
      <c r="J40" s="102"/>
    </row>
    <row r="41" spans="2:13">
      <c r="C41" s="63" t="s">
        <v>314</v>
      </c>
      <c r="D41" s="48">
        <f>1600220*(1/1000)</f>
        <v>1600.22</v>
      </c>
      <c r="E41" s="48">
        <f>1378034*(1/1000)</f>
        <v>1378.0340000000001</v>
      </c>
      <c r="F41" s="48">
        <f>1017430*(1/1000)</f>
        <v>1017.4300000000001</v>
      </c>
      <c r="G41" s="48">
        <f>780354*(1/1000)</f>
        <v>780.35400000000004</v>
      </c>
      <c r="H41" s="48">
        <f>619324*(1/1000)</f>
        <v>619.32400000000007</v>
      </c>
      <c r="I41" s="48">
        <f>944827*(1/1000)</f>
        <v>944.827</v>
      </c>
      <c r="J41" s="48">
        <f>792424*(1/1000)</f>
        <v>792.42399999999998</v>
      </c>
      <c r="L41" s="96">
        <f>(J41/I41-1)*100</f>
        <v>-16.130254533369602</v>
      </c>
      <c r="M41" s="96">
        <f t="shared" ref="M41:M44" si="7">(J41/D41-1)*100</f>
        <v>-50.480308957518339</v>
      </c>
    </row>
    <row r="42" spans="2:13">
      <c r="C42" s="63" t="s">
        <v>315</v>
      </c>
      <c r="D42" s="48">
        <f>1619720*(1/1000)</f>
        <v>1619.72</v>
      </c>
      <c r="E42" s="48">
        <f>1459120*(1/1000)</f>
        <v>1459.1200000000001</v>
      </c>
      <c r="F42" s="48">
        <f>1091780*(1/1000)</f>
        <v>1091.78</v>
      </c>
      <c r="G42" s="48">
        <f>862735*(1/1000)</f>
        <v>862.73500000000001</v>
      </c>
      <c r="H42" s="48">
        <f>668109*(1/1000)</f>
        <v>668.10900000000004</v>
      </c>
      <c r="I42" s="48">
        <f>1069294*(1/1000)</f>
        <v>1069.2940000000001</v>
      </c>
      <c r="J42" s="48">
        <f>937941*(1/1000)</f>
        <v>937.94100000000003</v>
      </c>
      <c r="L42" s="96">
        <f>(J42/I42-1)*100</f>
        <v>-12.284086509416504</v>
      </c>
      <c r="M42" s="96">
        <f t="shared" si="7"/>
        <v>-42.092398686192681</v>
      </c>
    </row>
    <row r="43" spans="2:13">
      <c r="C43" s="63" t="s">
        <v>316</v>
      </c>
      <c r="D43" s="48">
        <f>2500274*(1/1000)</f>
        <v>2500.2739999999999</v>
      </c>
      <c r="E43" s="48">
        <f>2358886*(1/1000)</f>
        <v>2358.886</v>
      </c>
      <c r="F43" s="48">
        <f>2000805*(1/1000)</f>
        <v>2000.8050000000001</v>
      </c>
      <c r="G43" s="48">
        <f>1700434*(1/1000)</f>
        <v>1700.434</v>
      </c>
      <c r="H43" s="48">
        <f>1224612*(1/1000)</f>
        <v>1224.6120000000001</v>
      </c>
      <c r="I43" s="48">
        <f>2231270*(1/1000)</f>
        <v>2231.27</v>
      </c>
      <c r="J43" s="48">
        <f>2148121*(1/1000)</f>
        <v>2148.1210000000001</v>
      </c>
      <c r="L43" s="96">
        <f>(J43/I43-1)*100</f>
        <v>-3.726532423238782</v>
      </c>
      <c r="M43" s="96">
        <f t="shared" si="7"/>
        <v>-14.084576330434173</v>
      </c>
    </row>
    <row r="44" spans="2:13">
      <c r="C44" s="98" t="s">
        <v>317</v>
      </c>
      <c r="D44" s="48">
        <f>533022*(1/1000)</f>
        <v>533.02200000000005</v>
      </c>
      <c r="E44" s="48">
        <f>395312*(1/1000)</f>
        <v>395.31200000000001</v>
      </c>
      <c r="F44" s="48">
        <f>260472*(1/1000)</f>
        <v>260.47199999999998</v>
      </c>
      <c r="G44" s="48">
        <f>193679*(1/1000)</f>
        <v>193.679</v>
      </c>
      <c r="H44" s="48">
        <f>173326*(1/1000)</f>
        <v>173.32599999999999</v>
      </c>
      <c r="I44" s="48">
        <f>564314*(1/1000)</f>
        <v>564.31399999999996</v>
      </c>
      <c r="J44" s="48">
        <f>369745*(1/1000)</f>
        <v>369.745</v>
      </c>
      <c r="L44" s="96">
        <f>(J44/I44-1)*100</f>
        <v>-34.478853971370548</v>
      </c>
      <c r="M44" s="96">
        <f t="shared" si="7"/>
        <v>-30.632319116284133</v>
      </c>
    </row>
    <row r="45" spans="2:13">
      <c r="D45" s="97"/>
      <c r="E45" s="97"/>
      <c r="F45" s="97"/>
      <c r="G45" s="97"/>
      <c r="H45" s="97"/>
      <c r="I45" s="97"/>
      <c r="J45" s="97"/>
    </row>
    <row r="46" spans="2:13">
      <c r="C46" s="63" t="s">
        <v>318</v>
      </c>
      <c r="D46" s="97"/>
      <c r="E46" s="97"/>
      <c r="F46" s="97"/>
      <c r="G46" s="97"/>
      <c r="H46" s="97"/>
      <c r="I46" s="97"/>
      <c r="J46" s="97"/>
    </row>
    <row r="47" spans="2:13">
      <c r="C47" s="65" t="s">
        <v>53</v>
      </c>
      <c r="D47" s="48">
        <f>3975314*(1/1000)</f>
        <v>3975.3140000000003</v>
      </c>
      <c r="E47" s="48">
        <f>3483460*(1/1000)</f>
        <v>3483.46</v>
      </c>
      <c r="F47" s="48">
        <f>2602631*(1/1000)</f>
        <v>2602.6309999999999</v>
      </c>
      <c r="G47" s="48">
        <f>2209587*(1/1000)</f>
        <v>2209.587</v>
      </c>
      <c r="H47" s="48">
        <f>1899451*(1/1000)</f>
        <v>1899.451</v>
      </c>
      <c r="I47" s="48">
        <f>3637467*(1/1000)</f>
        <v>3637.4670000000001</v>
      </c>
      <c r="J47" s="48">
        <f>3194921*(1/1000)</f>
        <v>3194.9210000000003</v>
      </c>
      <c r="L47" s="96">
        <f>(J47/I47-1)*100</f>
        <v>-12.166323433312243</v>
      </c>
      <c r="M47" s="96">
        <f t="shared" ref="M47:M51" si="8">(J47/D47-1)*100</f>
        <v>-19.630977578123389</v>
      </c>
    </row>
    <row r="48" spans="2:13">
      <c r="C48" s="65" t="s">
        <v>51</v>
      </c>
      <c r="D48" s="48">
        <f>504514*(1/1000)</f>
        <v>504.51400000000001</v>
      </c>
      <c r="E48" s="48">
        <f>508119*(1/1000)</f>
        <v>508.11900000000003</v>
      </c>
      <c r="F48" s="48">
        <f>454524*(1/1000)</f>
        <v>454.524</v>
      </c>
      <c r="G48" s="48">
        <f>322592*(1/1000)</f>
        <v>322.59199999999998</v>
      </c>
      <c r="H48" s="48">
        <f>175439*(1/1000)</f>
        <v>175.43899999999999</v>
      </c>
      <c r="I48" s="48">
        <f>182888*(1/1000)</f>
        <v>182.88800000000001</v>
      </c>
      <c r="J48" s="48">
        <f>132654*(1/1000)</f>
        <v>132.654</v>
      </c>
      <c r="L48" s="96">
        <f>(J48/I48-1)*100</f>
        <v>-27.467083679629066</v>
      </c>
      <c r="M48" s="96">
        <f t="shared" si="8"/>
        <v>-73.706577022639607</v>
      </c>
    </row>
    <row r="49" spans="2:13">
      <c r="C49" s="65" t="s">
        <v>52</v>
      </c>
      <c r="D49" s="48">
        <f>615904*(1/1000)</f>
        <v>615.904</v>
      </c>
      <c r="E49" s="48">
        <f>633408*(1/1000)</f>
        <v>633.40800000000002</v>
      </c>
      <c r="F49" s="48">
        <f>561140*(1/1000)</f>
        <v>561.14</v>
      </c>
      <c r="G49" s="48">
        <f>391087*(1/1000)</f>
        <v>391.08699999999999</v>
      </c>
      <c r="H49" s="48">
        <f>178561*(1/1000)</f>
        <v>178.56100000000001</v>
      </c>
      <c r="I49" s="48">
        <f>203011*(1/1000)</f>
        <v>203.011</v>
      </c>
      <c r="J49" s="48">
        <f>175115*(1/1000)</f>
        <v>175.11500000000001</v>
      </c>
      <c r="L49" s="96">
        <f>(J49/I49-1)*100</f>
        <v>-13.741127328075809</v>
      </c>
      <c r="M49" s="96">
        <f t="shared" si="8"/>
        <v>-71.567809268976987</v>
      </c>
    </row>
    <row r="50" spans="2:13">
      <c r="C50" s="65" t="s">
        <v>82</v>
      </c>
      <c r="D50" s="48">
        <f>305548*(1/1000)</f>
        <v>305.548</v>
      </c>
      <c r="E50" s="48">
        <f>238772*(1/1000)</f>
        <v>238.77199999999999</v>
      </c>
      <c r="F50" s="48">
        <f>188136*(1/1000)</f>
        <v>188.136</v>
      </c>
      <c r="G50" s="48">
        <f>155251*(1/1000)</f>
        <v>155.251</v>
      </c>
      <c r="H50" s="48">
        <f>115829*(1/1000)</f>
        <v>115.82900000000001</v>
      </c>
      <c r="I50" s="48">
        <f>258219*(1/1000)</f>
        <v>258.21899999999999</v>
      </c>
      <c r="J50" s="48">
        <f>281845*(1/1000)</f>
        <v>281.84500000000003</v>
      </c>
      <c r="L50" s="96">
        <f t="shared" ref="L50:L51" si="9">(J50/I50-1)*100</f>
        <v>9.1495978220038197</v>
      </c>
      <c r="M50" s="96">
        <f t="shared" si="8"/>
        <v>-7.7575372772853974</v>
      </c>
    </row>
    <row r="51" spans="2:13">
      <c r="C51" s="65" t="s">
        <v>319</v>
      </c>
      <c r="D51" s="48">
        <f>851956*(1/1000)</f>
        <v>851.95600000000002</v>
      </c>
      <c r="E51" s="48">
        <f>727593*(1/1000)</f>
        <v>727.59299999999996</v>
      </c>
      <c r="F51" s="48">
        <f>564056*(1/1000)</f>
        <v>564.05600000000004</v>
      </c>
      <c r="G51" s="48">
        <f>458685*(1/1000)</f>
        <v>458.685</v>
      </c>
      <c r="H51" s="48">
        <f>316091*(1/1000)</f>
        <v>316.09100000000001</v>
      </c>
      <c r="I51" s="48">
        <f>528120*(1/1000)</f>
        <v>528.12</v>
      </c>
      <c r="J51" s="48">
        <f>463696*(1/1000)</f>
        <v>463.69600000000003</v>
      </c>
      <c r="L51" s="96">
        <f t="shared" si="9"/>
        <v>-12.198742709990151</v>
      </c>
      <c r="M51" s="96">
        <f t="shared" si="8"/>
        <v>-45.572776058857499</v>
      </c>
    </row>
    <row r="52" spans="2:13">
      <c r="D52" s="97"/>
      <c r="E52" s="97"/>
      <c r="F52" s="97"/>
      <c r="G52" s="97"/>
      <c r="H52" s="97"/>
      <c r="I52" s="97"/>
      <c r="J52" s="97"/>
    </row>
    <row r="53" spans="2:13">
      <c r="B53" s="63" t="s">
        <v>321</v>
      </c>
    </row>
    <row r="54" spans="2:13">
      <c r="B54" s="63" t="s">
        <v>322</v>
      </c>
    </row>
  </sheetData>
  <mergeCells count="1">
    <mergeCell ref="L4:M4"/>
  </mergeCells>
  <pageMargins left="0.7" right="0.7" top="0.75" bottom="0.75" header="0.3" footer="0.3"/>
  <pageSetup scale="76" orientation="portrait" r:id="rId1"/>
</worksheet>
</file>

<file path=xl/worksheets/sheet13.xml><?xml version="1.0" encoding="utf-8"?>
<worksheet xmlns="http://schemas.openxmlformats.org/spreadsheetml/2006/main" xmlns:r="http://schemas.openxmlformats.org/officeDocument/2006/relationships">
  <dimension ref="A1:F49"/>
  <sheetViews>
    <sheetView zoomScale="85" zoomScaleNormal="85" workbookViewId="0">
      <selection activeCell="J19" sqref="J19"/>
    </sheetView>
  </sheetViews>
  <sheetFormatPr defaultRowHeight="15"/>
  <cols>
    <col min="1" max="1" width="12.28515625" style="65" customWidth="1"/>
    <col min="2" max="2" width="10.28515625" style="65" customWidth="1"/>
    <col min="3" max="3" width="10.28515625" style="47" customWidth="1"/>
    <col min="4" max="6" width="10.28515625" style="65" customWidth="1"/>
    <col min="7" max="16384" width="9.140625" style="65"/>
  </cols>
  <sheetData>
    <row r="1" spans="1:6">
      <c r="A1" s="113" t="s">
        <v>455</v>
      </c>
    </row>
    <row r="2" spans="1:6">
      <c r="C2" s="65"/>
    </row>
    <row r="3" spans="1:6">
      <c r="A3" s="113" t="s">
        <v>356</v>
      </c>
      <c r="C3" s="65"/>
    </row>
    <row r="4" spans="1:6">
      <c r="B4" s="65" t="s">
        <v>47</v>
      </c>
      <c r="C4" s="65" t="s">
        <v>46</v>
      </c>
      <c r="D4" s="65" t="s">
        <v>45</v>
      </c>
      <c r="E4" s="65" t="s">
        <v>44</v>
      </c>
      <c r="F4" s="65" t="s">
        <v>355</v>
      </c>
    </row>
    <row r="5" spans="1:6">
      <c r="A5" s="65" t="s">
        <v>334</v>
      </c>
      <c r="B5" s="106">
        <v>59.197899999999997</v>
      </c>
      <c r="C5" s="106">
        <v>51.131900000000002</v>
      </c>
      <c r="D5" s="106">
        <v>44.822899999999997</v>
      </c>
      <c r="E5" s="106">
        <v>43.283299999999997</v>
      </c>
      <c r="F5" s="249">
        <v>51.471600000000002</v>
      </c>
    </row>
    <row r="6" spans="1:6">
      <c r="A6" s="65" t="s">
        <v>335</v>
      </c>
      <c r="B6" s="106">
        <v>51.926299999999998</v>
      </c>
      <c r="C6" s="106">
        <v>53.285499999999999</v>
      </c>
      <c r="D6" s="106">
        <v>39.628300000000003</v>
      </c>
      <c r="E6" s="106">
        <v>45.186199999999999</v>
      </c>
      <c r="F6" s="249">
        <v>47.901000000000003</v>
      </c>
    </row>
    <row r="7" spans="1:6">
      <c r="A7" s="65" t="s">
        <v>336</v>
      </c>
      <c r="B7" s="106">
        <v>55.170400000000001</v>
      </c>
      <c r="C7" s="106">
        <v>51.170099999999998</v>
      </c>
      <c r="D7" s="106">
        <v>43.0336</v>
      </c>
      <c r="E7" s="106">
        <v>42.8459</v>
      </c>
      <c r="F7" s="249">
        <v>48.2027</v>
      </c>
    </row>
    <row r="8" spans="1:6">
      <c r="A8" s="65" t="s">
        <v>337</v>
      </c>
      <c r="B8" s="106">
        <v>48.912500000000001</v>
      </c>
      <c r="C8" s="106">
        <v>48.128399999999999</v>
      </c>
      <c r="D8" s="106">
        <v>40.453899999999997</v>
      </c>
      <c r="E8" s="106">
        <v>44.8386</v>
      </c>
      <c r="F8" s="249">
        <v>44.764099999999999</v>
      </c>
    </row>
    <row r="9" spans="1:6">
      <c r="A9" s="65" t="s">
        <v>338</v>
      </c>
      <c r="B9" s="106">
        <v>50.542200000000001</v>
      </c>
      <c r="C9" s="106">
        <v>42.431199999999997</v>
      </c>
      <c r="D9" s="106">
        <v>36.802199999999999</v>
      </c>
      <c r="E9" s="106">
        <v>43.012599999999999</v>
      </c>
      <c r="F9" s="249">
        <v>40.863599999999998</v>
      </c>
    </row>
    <row r="10" spans="1:6">
      <c r="A10" s="65" t="s">
        <v>339</v>
      </c>
      <c r="B10" s="106">
        <v>39.981400000000001</v>
      </c>
      <c r="C10" s="106">
        <v>41.178899999999999</v>
      </c>
      <c r="D10" s="106">
        <v>33.659599999999998</v>
      </c>
      <c r="E10" s="106">
        <v>42.670400000000001</v>
      </c>
      <c r="F10" s="249">
        <v>37.744799999999998</v>
      </c>
    </row>
    <row r="11" spans="1:6">
      <c r="A11" s="65" t="s">
        <v>340</v>
      </c>
      <c r="B11" s="106">
        <v>37.604999999999997</v>
      </c>
      <c r="C11" s="106">
        <v>37.264600000000002</v>
      </c>
      <c r="D11" s="106">
        <v>28.974799999999998</v>
      </c>
      <c r="E11" s="106">
        <v>41.195399999999999</v>
      </c>
      <c r="F11" s="249">
        <v>33.478200000000001</v>
      </c>
    </row>
    <row r="12" spans="1:6">
      <c r="A12" s="65" t="s">
        <v>65</v>
      </c>
      <c r="B12" s="106">
        <v>52.380600000000001</v>
      </c>
      <c r="C12" s="106">
        <v>46.894399999999997</v>
      </c>
      <c r="D12" s="106">
        <v>36.976300000000002</v>
      </c>
      <c r="E12" s="106">
        <v>43.377899999999997</v>
      </c>
      <c r="F12" s="106">
        <v>43.7395</v>
      </c>
    </row>
    <row r="13" spans="1:6">
      <c r="B13" s="106"/>
      <c r="C13" s="106"/>
      <c r="D13" s="106"/>
      <c r="E13" s="106"/>
      <c r="F13" s="106"/>
    </row>
    <row r="14" spans="1:6">
      <c r="A14" s="113" t="s">
        <v>353</v>
      </c>
      <c r="C14" s="65"/>
    </row>
    <row r="15" spans="1:6">
      <c r="B15" s="65" t="s">
        <v>47</v>
      </c>
      <c r="C15" s="65" t="s">
        <v>46</v>
      </c>
      <c r="D15" s="65" t="s">
        <v>45</v>
      </c>
      <c r="E15" s="65" t="s">
        <v>44</v>
      </c>
      <c r="F15" s="65" t="s">
        <v>355</v>
      </c>
    </row>
    <row r="16" spans="1:6">
      <c r="A16" s="65" t="s">
        <v>334</v>
      </c>
      <c r="B16" s="106">
        <v>2408.8930674622911</v>
      </c>
      <c r="C16" s="106">
        <v>1872.3649290502251</v>
      </c>
      <c r="D16" s="106">
        <v>1758.1690691747833</v>
      </c>
      <c r="E16" s="106">
        <v>1509.2969488760261</v>
      </c>
      <c r="F16" s="106">
        <v>1967.4161477540233</v>
      </c>
    </row>
    <row r="17" spans="1:6">
      <c r="A17" s="65" t="s">
        <v>335</v>
      </c>
      <c r="B17" s="106">
        <v>2244.6403211557267</v>
      </c>
      <c r="C17" s="106">
        <v>1743.2928650433073</v>
      </c>
      <c r="D17" s="106">
        <v>1611.3632107653762</v>
      </c>
      <c r="E17" s="106">
        <v>1403.0788489422464</v>
      </c>
      <c r="F17" s="106">
        <v>1770.4629865979334</v>
      </c>
    </row>
    <row r="18" spans="1:6">
      <c r="A18" s="65" t="s">
        <v>336</v>
      </c>
      <c r="B18" s="106">
        <v>2473.4239834974046</v>
      </c>
      <c r="C18" s="106">
        <v>1753.1300916810776</v>
      </c>
      <c r="D18" s="106">
        <v>1572.1615140038057</v>
      </c>
      <c r="E18" s="106">
        <v>1422.3388849617761</v>
      </c>
      <c r="F18" s="106">
        <v>1763.9841250965369</v>
      </c>
    </row>
    <row r="19" spans="1:6">
      <c r="A19" s="65" t="s">
        <v>337</v>
      </c>
      <c r="B19" s="106">
        <v>2354.5865878361328</v>
      </c>
      <c r="C19" s="106">
        <v>1566.390532767022</v>
      </c>
      <c r="D19" s="106">
        <v>1653.4273538582411</v>
      </c>
      <c r="E19" s="106">
        <v>1349.6255006953133</v>
      </c>
      <c r="F19" s="106">
        <v>1654.427951610417</v>
      </c>
    </row>
    <row r="20" spans="1:6">
      <c r="A20" s="65" t="s">
        <v>338</v>
      </c>
      <c r="B20" s="106">
        <v>1873.0361727676759</v>
      </c>
      <c r="C20" s="106">
        <v>1675.8270520584888</v>
      </c>
      <c r="D20" s="106">
        <v>1755.8485442275419</v>
      </c>
      <c r="E20" s="106">
        <v>1489.5894383304155</v>
      </c>
      <c r="F20" s="106">
        <v>1685.376841752071</v>
      </c>
    </row>
    <row r="21" spans="1:6">
      <c r="A21" s="65" t="s">
        <v>339</v>
      </c>
      <c r="B21" s="106">
        <v>2302.8750862513325</v>
      </c>
      <c r="C21" s="106">
        <v>1897.9055051389466</v>
      </c>
      <c r="D21" s="106">
        <v>1907.4126175419378</v>
      </c>
      <c r="E21" s="106">
        <v>1745.3286386943346</v>
      </c>
      <c r="F21" s="106">
        <v>1906.6210899784344</v>
      </c>
    </row>
    <row r="22" spans="1:6">
      <c r="A22" s="65" t="s">
        <v>340</v>
      </c>
      <c r="B22" s="106">
        <v>2482.7946789592079</v>
      </c>
      <c r="C22" s="106">
        <v>2011.7846335564204</v>
      </c>
      <c r="D22" s="106">
        <v>1933.5142214753989</v>
      </c>
      <c r="E22" s="106">
        <v>1589.4150418430995</v>
      </c>
      <c r="F22" s="106">
        <v>1939.8116803404157</v>
      </c>
    </row>
    <row r="23" spans="1:6">
      <c r="A23" s="65" t="s">
        <v>65</v>
      </c>
      <c r="B23" s="106">
        <v>2318.6189658430112</v>
      </c>
      <c r="C23" s="106">
        <v>1785.8832335538891</v>
      </c>
      <c r="D23" s="106">
        <v>1758.4474566212175</v>
      </c>
      <c r="E23" s="106">
        <v>1490.606059216786</v>
      </c>
      <c r="F23" s="106">
        <v>1810.2307330735232</v>
      </c>
    </row>
    <row r="24" spans="1:6">
      <c r="C24" s="65"/>
    </row>
    <row r="25" spans="1:6">
      <c r="A25" s="113" t="s">
        <v>354</v>
      </c>
      <c r="C25" s="65"/>
    </row>
    <row r="26" spans="1:6">
      <c r="B26" s="65" t="s">
        <v>47</v>
      </c>
      <c r="C26" s="65" t="s">
        <v>46</v>
      </c>
      <c r="D26" s="65" t="s">
        <v>45</v>
      </c>
      <c r="E26" s="65" t="s">
        <v>44</v>
      </c>
      <c r="F26" s="65" t="s">
        <v>355</v>
      </c>
    </row>
    <row r="27" spans="1:6">
      <c r="A27" s="65" t="s">
        <v>334</v>
      </c>
      <c r="B27" s="106">
        <v>2254.67</v>
      </c>
      <c r="C27" s="106">
        <v>2448.91</v>
      </c>
      <c r="D27" s="106">
        <v>2070.87</v>
      </c>
      <c r="E27" s="106">
        <v>2011.36</v>
      </c>
      <c r="F27" s="106">
        <v>2231.7399999999998</v>
      </c>
    </row>
    <row r="28" spans="1:6">
      <c r="A28" s="65" t="s">
        <v>335</v>
      </c>
      <c r="B28" s="106">
        <v>2299.5100000000002</v>
      </c>
      <c r="C28" s="106">
        <v>2175.56</v>
      </c>
      <c r="D28" s="106">
        <v>1935.99</v>
      </c>
      <c r="E28" s="106">
        <v>1731.22</v>
      </c>
      <c r="F28" s="106">
        <v>2052.23</v>
      </c>
    </row>
    <row r="29" spans="1:6">
      <c r="A29" s="65" t="s">
        <v>336</v>
      </c>
      <c r="B29" s="106">
        <v>2339.9</v>
      </c>
      <c r="C29" s="106">
        <v>2231.62</v>
      </c>
      <c r="D29" s="106">
        <v>1770.03</v>
      </c>
      <c r="E29" s="106">
        <v>1620.63</v>
      </c>
      <c r="F29" s="106">
        <v>1968.96</v>
      </c>
    </row>
    <row r="30" spans="1:6">
      <c r="A30" s="65" t="s">
        <v>337</v>
      </c>
      <c r="B30" s="106">
        <v>2394.08</v>
      </c>
      <c r="C30" s="106">
        <v>2076.79</v>
      </c>
      <c r="D30" s="106">
        <v>1805.6</v>
      </c>
      <c r="E30" s="106">
        <v>1489.32</v>
      </c>
      <c r="F30" s="106">
        <v>1863.1</v>
      </c>
    </row>
    <row r="31" spans="1:6">
      <c r="A31" s="65" t="s">
        <v>338</v>
      </c>
      <c r="B31" s="106">
        <v>1853.46</v>
      </c>
      <c r="C31" s="106">
        <v>2342.02</v>
      </c>
      <c r="D31" s="106">
        <v>2079.58</v>
      </c>
      <c r="E31" s="106">
        <v>1717.89</v>
      </c>
      <c r="F31" s="106">
        <v>1992.46</v>
      </c>
    </row>
    <row r="32" spans="1:6">
      <c r="A32" s="65" t="s">
        <v>339</v>
      </c>
      <c r="B32" s="106">
        <v>2811.99</v>
      </c>
      <c r="C32" s="106">
        <v>2748.12</v>
      </c>
      <c r="D32" s="106">
        <v>2482.38</v>
      </c>
      <c r="E32" s="106">
        <v>2116.56</v>
      </c>
      <c r="F32" s="106">
        <v>2501.17</v>
      </c>
    </row>
    <row r="33" spans="1:6">
      <c r="A33" s="65" t="s">
        <v>340</v>
      </c>
      <c r="B33" s="106">
        <v>3351.16</v>
      </c>
      <c r="C33" s="106">
        <v>3210.84</v>
      </c>
      <c r="D33" s="106">
        <v>2870.84</v>
      </c>
      <c r="E33" s="106">
        <v>2009.98</v>
      </c>
      <c r="F33" s="106">
        <v>2827.35</v>
      </c>
    </row>
    <row r="34" spans="1:6">
      <c r="A34" s="65" t="s">
        <v>65</v>
      </c>
      <c r="B34" s="106">
        <v>2333.66</v>
      </c>
      <c r="C34" s="106">
        <v>2420.7600000000002</v>
      </c>
      <c r="D34" s="106">
        <v>2160.9</v>
      </c>
      <c r="E34" s="106">
        <v>1784.22</v>
      </c>
      <c r="F34" s="106">
        <v>2170.77</v>
      </c>
    </row>
    <row r="35" spans="1:6">
      <c r="C35" s="65"/>
    </row>
    <row r="36" spans="1:6">
      <c r="A36" s="113" t="s">
        <v>357</v>
      </c>
      <c r="C36" s="65"/>
    </row>
    <row r="37" spans="1:6">
      <c r="B37" s="65" t="s">
        <v>47</v>
      </c>
      <c r="C37" s="65" t="s">
        <v>46</v>
      </c>
      <c r="D37" s="65" t="s">
        <v>45</v>
      </c>
      <c r="E37" s="65" t="s">
        <v>44</v>
      </c>
      <c r="F37" s="65" t="s">
        <v>355</v>
      </c>
    </row>
    <row r="38" spans="1:6">
      <c r="A38" s="65" t="s">
        <v>334</v>
      </c>
      <c r="B38" s="106">
        <v>1068.4012312430211</v>
      </c>
      <c r="C38" s="106">
        <v>764.57122035111479</v>
      </c>
      <c r="D38" s="106">
        <v>848.99825072434726</v>
      </c>
      <c r="E38" s="106">
        <v>750.38591291549812</v>
      </c>
      <c r="F38" s="106">
        <v>881.5634845186255</v>
      </c>
    </row>
    <row r="39" spans="1:6">
      <c r="A39" s="65" t="s">
        <v>335</v>
      </c>
      <c r="B39" s="106">
        <v>976.13673246945973</v>
      </c>
      <c r="C39" s="106">
        <v>801.30854432076933</v>
      </c>
      <c r="D39" s="106">
        <v>832.31958052142738</v>
      </c>
      <c r="E39" s="106">
        <v>810.45532163336611</v>
      </c>
      <c r="F39" s="106">
        <v>862.70007627108191</v>
      </c>
    </row>
    <row r="40" spans="1:6">
      <c r="A40" s="65" t="s">
        <v>336</v>
      </c>
      <c r="B40" s="106">
        <v>1057.0655631462093</v>
      </c>
      <c r="C40" s="106">
        <v>785.58462199777273</v>
      </c>
      <c r="D40" s="106">
        <v>888.21277014777979</v>
      </c>
      <c r="E40" s="106">
        <v>877.64445457162469</v>
      </c>
      <c r="F40" s="106">
        <v>895.89592980828297</v>
      </c>
    </row>
    <row r="41" spans="1:6">
      <c r="A41" s="65" t="s">
        <v>337</v>
      </c>
      <c r="B41" s="106">
        <v>983.5053422727035</v>
      </c>
      <c r="C41" s="106">
        <v>754.23713528943074</v>
      </c>
      <c r="D41" s="106">
        <v>915.72437538380871</v>
      </c>
      <c r="E41" s="106">
        <v>906.2049475352328</v>
      </c>
      <c r="F41" s="106">
        <v>887.99855674479454</v>
      </c>
    </row>
    <row r="42" spans="1:6">
      <c r="A42" s="65" t="s">
        <v>338</v>
      </c>
      <c r="B42" s="106">
        <v>1010.5615223874902</v>
      </c>
      <c r="C42" s="106">
        <v>715.54702025305164</v>
      </c>
      <c r="D42" s="106">
        <v>844.32990796081378</v>
      </c>
      <c r="E42" s="106">
        <v>867.10650537096512</v>
      </c>
      <c r="F42" s="106">
        <v>845.87926313296975</v>
      </c>
    </row>
    <row r="43" spans="1:6">
      <c r="A43" s="65" t="s">
        <v>339</v>
      </c>
      <c r="B43" s="106">
        <v>818.9487572708972</v>
      </c>
      <c r="C43" s="106">
        <v>690.61913811487227</v>
      </c>
      <c r="D43" s="106">
        <v>768.37916849662838</v>
      </c>
      <c r="E43" s="106">
        <v>824.60507073353551</v>
      </c>
      <c r="F43" s="106">
        <v>762.2904047264168</v>
      </c>
    </row>
    <row r="44" spans="1:6">
      <c r="A44" s="65" t="s">
        <v>340</v>
      </c>
      <c r="B44" s="106">
        <v>740.87527511578548</v>
      </c>
      <c r="C44" s="106">
        <v>626.55930347299454</v>
      </c>
      <c r="D44" s="106">
        <v>673.50054617372689</v>
      </c>
      <c r="E44" s="106">
        <v>790.7614104877789</v>
      </c>
      <c r="F44" s="106">
        <v>686.08890582086394</v>
      </c>
    </row>
    <row r="45" spans="1:6">
      <c r="A45" s="65" t="s">
        <v>65</v>
      </c>
      <c r="B45" s="106">
        <v>993.55347011944389</v>
      </c>
      <c r="C45" s="106">
        <v>737.73802566491304</v>
      </c>
      <c r="D45" s="106">
        <v>813.75779977212846</v>
      </c>
      <c r="E45" s="106">
        <v>835.44022672731069</v>
      </c>
      <c r="F45" s="106">
        <v>833.91178273948549</v>
      </c>
    </row>
    <row r="46" spans="1:6">
      <c r="C46" s="65"/>
    </row>
    <row r="47" spans="1:6">
      <c r="A47" s="65" t="s">
        <v>358</v>
      </c>
      <c r="C47" s="65"/>
    </row>
    <row r="48" spans="1:6">
      <c r="A48" t="s">
        <v>341</v>
      </c>
      <c r="C48" s="65"/>
    </row>
    <row r="49" spans="3:3">
      <c r="C49" s="65"/>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AD30"/>
  <sheetViews>
    <sheetView workbookViewId="0"/>
  </sheetViews>
  <sheetFormatPr defaultRowHeight="15"/>
  <cols>
    <col min="1" max="1" width="50.42578125" style="119" customWidth="1"/>
    <col min="2" max="10" width="12.7109375" style="119" customWidth="1"/>
    <col min="11" max="16384" width="9.140625" style="119"/>
  </cols>
  <sheetData>
    <row r="1" spans="1:30">
      <c r="A1" s="1" t="s">
        <v>410</v>
      </c>
    </row>
    <row r="3" spans="1:30">
      <c r="A3" s="119" t="s">
        <v>193</v>
      </c>
    </row>
    <row r="4" spans="1:30">
      <c r="B4" s="272" t="s">
        <v>411</v>
      </c>
      <c r="C4" s="272"/>
      <c r="D4" s="272"/>
      <c r="E4" s="272" t="s">
        <v>412</v>
      </c>
      <c r="F4" s="272"/>
      <c r="G4" s="272"/>
      <c r="H4" s="272" t="s">
        <v>413</v>
      </c>
      <c r="I4" s="272"/>
      <c r="J4" s="272"/>
      <c r="M4" s="167"/>
      <c r="N4" s="168"/>
      <c r="O4" s="167"/>
      <c r="V4" s="167"/>
      <c r="W4" s="167"/>
      <c r="X4" s="167"/>
      <c r="Y4" s="167"/>
      <c r="Z4" s="167"/>
      <c r="AA4" s="167"/>
      <c r="AB4" s="167"/>
      <c r="AC4" s="167"/>
      <c r="AD4" s="167"/>
    </row>
    <row r="5" spans="1:30">
      <c r="A5" s="168"/>
      <c r="B5" s="169" t="s">
        <v>414</v>
      </c>
      <c r="C5" s="169" t="s">
        <v>415</v>
      </c>
      <c r="D5" s="169" t="s">
        <v>416</v>
      </c>
      <c r="E5" s="169" t="s">
        <v>414</v>
      </c>
      <c r="F5" s="169" t="s">
        <v>415</v>
      </c>
      <c r="G5" s="169" t="s">
        <v>416</v>
      </c>
      <c r="H5" s="169" t="s">
        <v>414</v>
      </c>
      <c r="I5" s="169" t="s">
        <v>415</v>
      </c>
      <c r="J5" s="169" t="s">
        <v>416</v>
      </c>
      <c r="M5" s="168"/>
      <c r="N5" s="167"/>
      <c r="O5" s="167"/>
      <c r="V5" s="167"/>
      <c r="W5" s="167"/>
      <c r="X5" s="167"/>
      <c r="Y5" s="167"/>
      <c r="Z5" s="167"/>
      <c r="AA5" s="167"/>
      <c r="AB5" s="167"/>
      <c r="AC5" s="167"/>
      <c r="AD5" s="167"/>
    </row>
    <row r="6" spans="1:30">
      <c r="A6" s="167" t="s">
        <v>417</v>
      </c>
      <c r="B6" s="170">
        <f>0.3808*(100)</f>
        <v>38.080000000000005</v>
      </c>
      <c r="C6" s="170">
        <f>0.3274*(100)</f>
        <v>32.74</v>
      </c>
      <c r="D6" s="170">
        <f>0.3841*(100)</f>
        <v>38.409999999999997</v>
      </c>
      <c r="E6" s="170">
        <f>-0.643395133256083*(100)</f>
        <v>-64.339513325608294</v>
      </c>
      <c r="F6" s="170">
        <f>-0.414193159560042*(100)</f>
        <v>-41.419315956004198</v>
      </c>
      <c r="G6" s="170">
        <f>-0.284228018206777*(100)</f>
        <v>-28.422801820677702</v>
      </c>
      <c r="H6" s="170">
        <f>-0.5076*(100)</f>
        <v>-50.760000000000005</v>
      </c>
      <c r="I6" s="170">
        <f>-0.2224*(100)</f>
        <v>-22.24</v>
      </c>
      <c r="J6" s="170">
        <f>-0.00930000000000009*(100)</f>
        <v>-0.93000000000000893</v>
      </c>
      <c r="M6" s="168"/>
      <c r="N6" s="171"/>
      <c r="O6" s="171"/>
      <c r="V6" s="171"/>
      <c r="W6" s="171"/>
      <c r="X6" s="171"/>
      <c r="Y6" s="171"/>
      <c r="Z6" s="171"/>
      <c r="AA6" s="171"/>
      <c r="AB6" s="171"/>
      <c r="AC6" s="171"/>
      <c r="AD6" s="171"/>
    </row>
    <row r="7" spans="1:30">
      <c r="A7" s="167" t="s">
        <v>418</v>
      </c>
      <c r="B7" s="170">
        <f>1.1924*(100)</f>
        <v>119.24</v>
      </c>
      <c r="C7" s="170">
        <f>0.8845*(100)</f>
        <v>88.449999999999989</v>
      </c>
      <c r="D7" s="170">
        <f>0.6961*(100)</f>
        <v>69.61</v>
      </c>
      <c r="E7" s="170">
        <f>-0.27349023900748*(100)</f>
        <v>-27.349023900747998</v>
      </c>
      <c r="F7" s="170">
        <f>-0.217882727513929*(100)</f>
        <v>-21.788272751392903</v>
      </c>
      <c r="G7" s="170">
        <f>-0.14203171982784*(100)</f>
        <v>-14.203171982783999</v>
      </c>
      <c r="H7" s="170">
        <f>0.5928*(100)</f>
        <v>59.28</v>
      </c>
      <c r="I7" s="170">
        <f>0.4739*(100)</f>
        <v>47.39</v>
      </c>
      <c r="J7" s="170">
        <f>0.4552*(100)</f>
        <v>45.519999999999996</v>
      </c>
      <c r="M7" s="168"/>
      <c r="N7" s="171"/>
      <c r="O7" s="171"/>
      <c r="V7" s="171"/>
      <c r="W7" s="171"/>
      <c r="X7" s="171"/>
      <c r="Y7" s="171"/>
      <c r="Z7" s="171"/>
      <c r="AA7" s="171"/>
      <c r="AB7" s="171"/>
      <c r="AC7" s="171"/>
      <c r="AD7" s="171"/>
    </row>
    <row r="8" spans="1:30">
      <c r="A8" s="167" t="s">
        <v>419</v>
      </c>
      <c r="B8" s="170">
        <f>0.8356*(100)</f>
        <v>83.56</v>
      </c>
      <c r="C8" s="170">
        <f>0.7508*(100)</f>
        <v>75.08</v>
      </c>
      <c r="D8" s="170">
        <f>0.6015*(100)</f>
        <v>60.150000000000006</v>
      </c>
      <c r="E8" s="170">
        <f>-0.532359991283504*(100)</f>
        <v>-53.2359991283504</v>
      </c>
      <c r="F8" s="170">
        <f>-0.39781814027873*(100)</f>
        <v>-39.781814027873004</v>
      </c>
      <c r="G8" s="170">
        <f>-0.28860443334374*(100)</f>
        <v>-28.860443334373997</v>
      </c>
      <c r="H8" s="170">
        <f>-0.1416*(100)</f>
        <v>-14.16</v>
      </c>
      <c r="I8" s="170">
        <f>0.0543*(100)</f>
        <v>5.43</v>
      </c>
      <c r="J8" s="170">
        <f>0.1393*(100)</f>
        <v>13.930000000000001</v>
      </c>
      <c r="M8" s="168"/>
      <c r="N8" s="171"/>
      <c r="O8" s="171"/>
      <c r="V8" s="171"/>
      <c r="W8" s="171"/>
      <c r="X8" s="171"/>
      <c r="Y8" s="171"/>
      <c r="Z8" s="171"/>
      <c r="AA8" s="171"/>
      <c r="AB8" s="171"/>
      <c r="AC8" s="171"/>
      <c r="AD8" s="171"/>
    </row>
    <row r="9" spans="1:30">
      <c r="A9" s="172" t="s">
        <v>420</v>
      </c>
      <c r="B9" s="173">
        <f>0.3349*(100)</f>
        <v>33.489999999999995</v>
      </c>
      <c r="C9" s="173">
        <f>0.2374*(100)</f>
        <v>23.74</v>
      </c>
      <c r="D9" s="173">
        <f>0.2226*(100)</f>
        <v>22.259999999999998</v>
      </c>
      <c r="E9" s="173" t="s">
        <v>25</v>
      </c>
      <c r="F9" s="173" t="s">
        <v>25</v>
      </c>
      <c r="G9" s="173" t="s">
        <v>25</v>
      </c>
      <c r="H9" s="173" t="s">
        <v>25</v>
      </c>
      <c r="I9" s="173" t="s">
        <v>25</v>
      </c>
      <c r="J9" s="173" t="s">
        <v>25</v>
      </c>
    </row>
    <row r="10" spans="1:30">
      <c r="A10" s="167" t="s">
        <v>421</v>
      </c>
      <c r="B10" s="170">
        <f>0.3868*(100)</f>
        <v>38.68</v>
      </c>
      <c r="C10" s="170">
        <f>0.3927*(100)</f>
        <v>39.269999999999996</v>
      </c>
      <c r="D10" s="170">
        <f>0.4292*(100)</f>
        <v>42.92</v>
      </c>
      <c r="E10" s="170">
        <f>-0.177819440438419*(100)</f>
        <v>-17.7819440438419</v>
      </c>
      <c r="F10" s="170">
        <f>-0.100524161700294*(100)</f>
        <v>-10.052416170029401</v>
      </c>
      <c r="G10" s="170">
        <f>-0.125454799888049*(100)</f>
        <v>-12.5454799888049</v>
      </c>
      <c r="H10" s="170">
        <f>0.1402*(100)</f>
        <v>14.02</v>
      </c>
      <c r="I10" s="170">
        <f>0.2527*(100)</f>
        <v>25.27</v>
      </c>
      <c r="J10" s="170">
        <f>0.2499*(100)</f>
        <v>24.990000000000002</v>
      </c>
    </row>
    <row r="11" spans="1:30">
      <c r="A11" s="167" t="s">
        <v>422</v>
      </c>
      <c r="B11" s="170">
        <f>1.4394*(100)</f>
        <v>143.94</v>
      </c>
      <c r="C11" s="170">
        <f>1.3505*(100)</f>
        <v>135.05000000000001</v>
      </c>
      <c r="D11" s="170">
        <f>1.305*(100)</f>
        <v>130.5</v>
      </c>
      <c r="E11" s="170">
        <f>-0.696318766909896*(100)</f>
        <v>-69.6318766909896</v>
      </c>
      <c r="F11" s="170">
        <f>-0.628164220378643*(100)</f>
        <v>-62.816422037864292</v>
      </c>
      <c r="G11" s="170">
        <f>-0.577700650759219*(100)</f>
        <v>-57.770065075921892</v>
      </c>
      <c r="H11" s="170">
        <f>-0.2592*(100)</f>
        <v>-25.919999999999998</v>
      </c>
      <c r="I11" s="170">
        <f>-0.126*(100)</f>
        <v>-12.6</v>
      </c>
      <c r="J11" s="170">
        <f>-0.0266*(100)</f>
        <v>-2.6599999999999997</v>
      </c>
    </row>
    <row r="12" spans="1:30">
      <c r="A12" s="167" t="s">
        <v>423</v>
      </c>
      <c r="B12" s="170">
        <f>2.3981*(100)</f>
        <v>239.81</v>
      </c>
      <c r="C12" s="170">
        <f>1.8344*(100)</f>
        <v>183.44</v>
      </c>
      <c r="D12" s="170">
        <f>1.4026*(100)</f>
        <v>140.26000000000002</v>
      </c>
      <c r="E12" s="170">
        <f>-0.535917130160972*(100)</f>
        <v>-53.591713016097195</v>
      </c>
      <c r="F12" s="170">
        <f>-0.418536550945526*(100)</f>
        <v>-41.8536550945526</v>
      </c>
      <c r="G12" s="170">
        <f>-0.317947223840839*(100)</f>
        <v>-31.794722384083901</v>
      </c>
      <c r="H12" s="170">
        <f>0.577*(100)</f>
        <v>57.699999999999996</v>
      </c>
      <c r="I12" s="170">
        <f>0.6481*(100)</f>
        <v>64.81</v>
      </c>
      <c r="J12" s="170">
        <f>0.6387*(100)</f>
        <v>63.870000000000005</v>
      </c>
    </row>
    <row r="13" spans="1:30">
      <c r="A13" s="167" t="s">
        <v>424</v>
      </c>
      <c r="B13" s="170">
        <f>2.4113*(100)</f>
        <v>241.13000000000002</v>
      </c>
      <c r="C13" s="170">
        <f>1.923*(100)</f>
        <v>192.3</v>
      </c>
      <c r="D13" s="170">
        <f>1.5796*(100)</f>
        <v>157.95999999999998</v>
      </c>
      <c r="E13" s="170">
        <f>-0.662621288071996*(100)</f>
        <v>-66.262128807199602</v>
      </c>
      <c r="F13" s="170">
        <f>-0.544166951761888*(100)</f>
        <v>-54.416695176188803</v>
      </c>
      <c r="G13" s="170">
        <f>-0.444991471545976*(100)</f>
        <v>-44.499147154597601</v>
      </c>
      <c r="H13" s="170">
        <f>0.1509*(100)</f>
        <v>15.09</v>
      </c>
      <c r="I13" s="170">
        <f>0.3324*(100)</f>
        <v>33.239999999999995</v>
      </c>
      <c r="J13" s="170">
        <f>0.4317*(100)</f>
        <v>43.169999999999995</v>
      </c>
    </row>
    <row r="14" spans="1:30">
      <c r="A14" s="167" t="s">
        <v>425</v>
      </c>
      <c r="B14" s="170">
        <f>0.8768*(100)</f>
        <v>87.68</v>
      </c>
      <c r="C14" s="170">
        <f>0.6906*(100)</f>
        <v>69.06</v>
      </c>
      <c r="D14" s="170">
        <f>0.6592*(100)</f>
        <v>65.92</v>
      </c>
      <c r="E14" s="170">
        <f>-0.474904092071611*(100)</f>
        <v>-47.4904092071611</v>
      </c>
      <c r="F14" s="170">
        <f>-0.360463740683781*(100)</f>
        <v>-36.0463740683781</v>
      </c>
      <c r="G14" s="170">
        <f>-0.296769527483124*(100)</f>
        <v>-29.676952748312402</v>
      </c>
      <c r="H14" s="170">
        <f>-0.0145000000000001*(100)</f>
        <v>-1.4500000000000099</v>
      </c>
      <c r="I14" s="170">
        <f>0.0811999999999999*(100)</f>
        <v>8.1199999999999903</v>
      </c>
      <c r="J14" s="170">
        <f>0.1668*(100)</f>
        <v>16.68</v>
      </c>
    </row>
    <row r="15" spans="1:30">
      <c r="A15" s="167" t="s">
        <v>426</v>
      </c>
      <c r="B15" s="170">
        <f>1.5978*(100)</f>
        <v>159.78</v>
      </c>
      <c r="C15" s="170">
        <f>1.2417*(100)</f>
        <v>124.17</v>
      </c>
      <c r="D15" s="170">
        <f>0.9324*(100)</f>
        <v>93.24</v>
      </c>
      <c r="E15" s="170">
        <f>-0.322465162830087*(100)</f>
        <v>-32.246516283008702</v>
      </c>
      <c r="F15" s="170">
        <f>-0.26564660748539*(100)</f>
        <v>-26.564660748538998</v>
      </c>
      <c r="G15" s="170">
        <f>-0.195197681639412*(100)</f>
        <v>-19.519768163941201</v>
      </c>
      <c r="H15" s="170">
        <f>0.7601*(100)</f>
        <v>76.010000000000005</v>
      </c>
      <c r="I15" s="170">
        <f>0.6462*(100)</f>
        <v>64.62</v>
      </c>
      <c r="J15" s="170">
        <f>0.5552*(100)</f>
        <v>55.52</v>
      </c>
    </row>
    <row r="16" spans="1:30">
      <c r="A16" s="167" t="s">
        <v>427</v>
      </c>
      <c r="B16" s="170">
        <f>1.3928*(100)</f>
        <v>139.28</v>
      </c>
      <c r="C16" s="170">
        <f>1.2328*(100)</f>
        <v>123.27999999999999</v>
      </c>
      <c r="D16" s="170">
        <f>1.2401*(100)</f>
        <v>124.00999999999999</v>
      </c>
      <c r="E16" s="170">
        <f>-0.674565362754932*(100)</f>
        <v>-67.456536275493193</v>
      </c>
      <c r="F16" s="170">
        <f>-0.57878000716589*(100)</f>
        <v>-57.878000716588993</v>
      </c>
      <c r="G16" s="170">
        <f>-0.495335029686175*(100)</f>
        <v>-49.533502968617498</v>
      </c>
      <c r="H16" s="170">
        <f>-0.2213*(100)</f>
        <v>-22.13</v>
      </c>
      <c r="I16" s="170">
        <f>-0.0595*(100)</f>
        <v>-5.9499999999999993</v>
      </c>
      <c r="J16" s="170">
        <f>0.1305*(100)</f>
        <v>13.05</v>
      </c>
    </row>
    <row r="17" spans="1:10">
      <c r="A17" s="167" t="s">
        <v>428</v>
      </c>
      <c r="B17" s="170">
        <f>0.9987*(100)</f>
        <v>99.87</v>
      </c>
      <c r="C17" s="170">
        <f>0.8684*(100)</f>
        <v>86.839999999999989</v>
      </c>
      <c r="D17" s="170">
        <f>0.8083*(100)</f>
        <v>80.83</v>
      </c>
      <c r="E17" s="170">
        <f>-0.343072997448341*(100)</f>
        <v>-34.307299744834104</v>
      </c>
      <c r="F17" s="170">
        <f>-0.292870905587669*(100)</f>
        <v>-29.287090558766899</v>
      </c>
      <c r="G17" s="170">
        <f>-0.268981916717359*(100)</f>
        <v>-26.898191671735898</v>
      </c>
      <c r="H17" s="170">
        <f>0.313*(100)</f>
        <v>31.3</v>
      </c>
      <c r="I17" s="170">
        <f>0.3212*(100)</f>
        <v>32.119999999999997</v>
      </c>
      <c r="J17" s="170">
        <f>0.3219*(100)</f>
        <v>32.190000000000005</v>
      </c>
    </row>
    <row r="18" spans="1:10">
      <c r="A18" s="167" t="s">
        <v>429</v>
      </c>
      <c r="B18" s="170">
        <f>1.9681*(100)</f>
        <v>196.81</v>
      </c>
      <c r="C18" s="170">
        <f>1.5456*(100)</f>
        <v>154.56</v>
      </c>
      <c r="D18" s="170">
        <f>1.2443*(100)</f>
        <v>124.42999999999999</v>
      </c>
      <c r="E18" s="170">
        <f>-0.480543108385836*(100)</f>
        <v>-48.054310838583604</v>
      </c>
      <c r="F18" s="170">
        <f>-0.408076681332495*(100)</f>
        <v>-40.8076681332495</v>
      </c>
      <c r="G18" s="170">
        <f>-0.336051330036091*(100)</f>
        <v>-33.605133003609097</v>
      </c>
      <c r="H18" s="170">
        <f>0.5418*(100)</f>
        <v>54.179999999999993</v>
      </c>
      <c r="I18" s="170">
        <f>0.5068*(100)</f>
        <v>50.68</v>
      </c>
      <c r="J18" s="170">
        <f>0.4901*(100)</f>
        <v>49.01</v>
      </c>
    </row>
    <row r="19" spans="1:10">
      <c r="A19" s="167" t="s">
        <v>430</v>
      </c>
      <c r="B19" s="170">
        <f>1.7613*(100)</f>
        <v>176.13</v>
      </c>
      <c r="C19" s="170">
        <f>1.2275*(100)</f>
        <v>122.75</v>
      </c>
      <c r="D19" s="170">
        <f>0.9129*(100)</f>
        <v>91.29</v>
      </c>
      <c r="E19" s="170">
        <f>-0.600659109839568*(100)</f>
        <v>-60.065910983956805</v>
      </c>
      <c r="F19" s="170">
        <f>-0.420740740740741*(100)</f>
        <v>-42.074074074074105</v>
      </c>
      <c r="G19" s="170">
        <f>-0.260128600554132*(100)</f>
        <v>-26.012860055413199</v>
      </c>
      <c r="H19" s="170">
        <f>0.1027*(100)</f>
        <v>10.27</v>
      </c>
      <c r="I19" s="170">
        <f>0.2903*(100)</f>
        <v>29.03</v>
      </c>
      <c r="J19" s="170">
        <f>0.4153*(100)</f>
        <v>41.53</v>
      </c>
    </row>
    <row r="20" spans="1:10">
      <c r="A20" s="167" t="s">
        <v>431</v>
      </c>
      <c r="B20" s="170">
        <f>1.0238*(100)</f>
        <v>102.38000000000001</v>
      </c>
      <c r="C20" s="170">
        <f>0.9377*(100)</f>
        <v>93.77</v>
      </c>
      <c r="D20" s="170">
        <f>0.8761*(100)</f>
        <v>87.61</v>
      </c>
      <c r="E20" s="170">
        <f>-0.415258424745528*(100)</f>
        <v>-41.525842474552796</v>
      </c>
      <c r="F20" s="170">
        <f>-0.355266553129999*(100)</f>
        <v>-35.5266553129999</v>
      </c>
      <c r="G20" s="170">
        <f>-0.27898299664197*(100)</f>
        <v>-27.898299664197001</v>
      </c>
      <c r="H20" s="170">
        <f>0.1834*(100)</f>
        <v>18.34</v>
      </c>
      <c r="I20" s="170">
        <f>0.2493*(100)</f>
        <v>24.93</v>
      </c>
      <c r="J20" s="170">
        <f>0.3527*(100)</f>
        <v>35.270000000000003</v>
      </c>
    </row>
    <row r="21" spans="1:10">
      <c r="A21" s="167" t="s">
        <v>432</v>
      </c>
      <c r="B21" s="170">
        <f>1.7974*(100)</f>
        <v>179.74</v>
      </c>
      <c r="C21" s="170">
        <f>1.4492*(100)</f>
        <v>144.92000000000002</v>
      </c>
      <c r="D21" s="170">
        <f>1.2468*(100)</f>
        <v>124.67999999999999</v>
      </c>
      <c r="E21" s="170">
        <f>-0.631300493315221*(100)</f>
        <v>-63.130049331522095</v>
      </c>
      <c r="F21" s="170">
        <f>-0.520006532745386*(100)</f>
        <v>-52.0006532745386</v>
      </c>
      <c r="G21" s="170">
        <f>-0.422734555812711*(100)</f>
        <v>-42.273455581271101</v>
      </c>
      <c r="H21" s="170">
        <f>0.0314000000000001*(100)</f>
        <v>3.1400000000000103</v>
      </c>
      <c r="I21" s="170">
        <f>0.1756*(100)</f>
        <v>17.560000000000002</v>
      </c>
      <c r="J21" s="170">
        <f>0.297*(100)</f>
        <v>29.7</v>
      </c>
    </row>
    <row r="22" spans="1:10">
      <c r="A22" s="167" t="s">
        <v>433</v>
      </c>
      <c r="B22" s="170">
        <f>1.9675*(100)</f>
        <v>196.75</v>
      </c>
      <c r="C22" s="170">
        <f>1.5956*(100)</f>
        <v>159.56</v>
      </c>
      <c r="D22" s="170">
        <f>1.2303*(100)</f>
        <v>123.03</v>
      </c>
      <c r="E22" s="170">
        <f>-0.436630160067397*(100)</f>
        <v>-43.663016006739703</v>
      </c>
      <c r="F22" s="170">
        <f>-0.317961165048544*(100)</f>
        <v>-31.7961165048544</v>
      </c>
      <c r="G22" s="170">
        <f>-0.197686409900014*(100)</f>
        <v>-19.768640990001398</v>
      </c>
      <c r="H22" s="170">
        <f>0.6718*(100)</f>
        <v>67.179999999999993</v>
      </c>
      <c r="I22" s="170">
        <f>0.7703*(100)</f>
        <v>77.03</v>
      </c>
      <c r="J22" s="170">
        <f>0.7894*(100)</f>
        <v>78.94</v>
      </c>
    </row>
    <row r="23" spans="1:10">
      <c r="A23" s="167"/>
      <c r="B23" s="170"/>
      <c r="C23" s="170"/>
      <c r="D23" s="170"/>
      <c r="E23" s="170"/>
      <c r="F23" s="170"/>
      <c r="G23" s="170"/>
      <c r="H23" s="170"/>
      <c r="I23" s="170"/>
      <c r="J23" s="170"/>
    </row>
    <row r="24" spans="1:10">
      <c r="A24" s="119" t="s">
        <v>434</v>
      </c>
      <c r="B24" s="174">
        <f>0.3808*(100)</f>
        <v>38.080000000000005</v>
      </c>
      <c r="C24" s="174">
        <f>0.3274*(100)</f>
        <v>32.74</v>
      </c>
      <c r="D24" s="174">
        <f>0.3841*(100)</f>
        <v>38.409999999999997</v>
      </c>
      <c r="E24" s="174">
        <f>-0.696318766909896*(100)</f>
        <v>-69.6318766909896</v>
      </c>
      <c r="F24" s="174">
        <f>-0.628164220378643*(100)</f>
        <v>-62.816422037864292</v>
      </c>
      <c r="G24" s="174">
        <f>-0.577700650759219*(100)</f>
        <v>-57.770065075921892</v>
      </c>
      <c r="H24" s="174">
        <f>-0.5076*(100)</f>
        <v>-50.760000000000005</v>
      </c>
      <c r="I24" s="174">
        <f>-0.2224*(100)</f>
        <v>-22.24</v>
      </c>
      <c r="J24" s="174">
        <f>-0.0266*(100)</f>
        <v>-2.6599999999999997</v>
      </c>
    </row>
    <row r="25" spans="1:10">
      <c r="A25" s="119" t="s">
        <v>435</v>
      </c>
      <c r="B25" s="174">
        <f>2.4113*(100)</f>
        <v>241.13000000000002</v>
      </c>
      <c r="C25" s="174">
        <f>1.923*(100)</f>
        <v>192.3</v>
      </c>
      <c r="D25" s="174">
        <f>1.5796*(100)</f>
        <v>157.95999999999998</v>
      </c>
      <c r="E25" s="174">
        <f>-0.177819440438419*(100)</f>
        <v>-17.7819440438419</v>
      </c>
      <c r="F25" s="174">
        <f>-0.100524161700294*(100)</f>
        <v>-10.052416170029401</v>
      </c>
      <c r="G25" s="174">
        <f>-0.125454799888049*(100)</f>
        <v>-12.5454799888049</v>
      </c>
      <c r="H25" s="174">
        <f>0.7601*(100)</f>
        <v>76.010000000000005</v>
      </c>
      <c r="I25" s="174">
        <f>0.7703*(100)</f>
        <v>77.03</v>
      </c>
      <c r="J25" s="174">
        <f>0.7894*(100)</f>
        <v>78.94</v>
      </c>
    </row>
    <row r="26" spans="1:10">
      <c r="A26" s="119" t="s">
        <v>436</v>
      </c>
      <c r="B26" s="174">
        <f>1.4017875*(100)</f>
        <v>140.17875000000001</v>
      </c>
      <c r="C26" s="174">
        <f>1.140775*(100)</f>
        <v>114.07750000000001</v>
      </c>
      <c r="D26" s="174">
        <f>0.97178125*(100)</f>
        <v>97.178125000000009</v>
      </c>
      <c r="E26" s="174">
        <f>-0.493832556286679*(100)</f>
        <v>-49.383255628667897</v>
      </c>
      <c r="F26" s="174">
        <f>-0.390068677878684*(100)</f>
        <v>-39.006867787868401</v>
      </c>
      <c r="G26" s="174">
        <f>-0.308301647867714*(100)</f>
        <v>-30.830164786771402</v>
      </c>
      <c r="H26" s="174">
        <f>0.18255625*(100)</f>
        <v>18.255625000000002</v>
      </c>
      <c r="I26" s="174">
        <f>0.27465*(100)</f>
        <v>27.465</v>
      </c>
      <c r="J26" s="174">
        <f>0.3373625*(100)</f>
        <v>33.736249999999998</v>
      </c>
    </row>
    <row r="27" spans="1:10">
      <c r="A27" s="119" t="s">
        <v>437</v>
      </c>
      <c r="B27" s="174">
        <f>1.4161*(100)</f>
        <v>141.60999999999999</v>
      </c>
      <c r="C27" s="174">
        <f>1.23015*(100)</f>
        <v>123.01500000000001</v>
      </c>
      <c r="D27" s="174">
        <f>0.92265*(100)</f>
        <v>92.265000000000001</v>
      </c>
      <c r="E27" s="174">
        <f>-0.50645154983467*(100)</f>
        <v>-50.645154983467002</v>
      </c>
      <c r="F27" s="174">
        <f>-0.402947410805613*(100)</f>
        <v>-40.294741080561302</v>
      </c>
      <c r="G27" s="174">
        <f>-0.286416225775259*(100)</f>
        <v>-28.641622577525901</v>
      </c>
      <c r="H27" s="174">
        <f>0.14555*(100)</f>
        <v>14.555000000000001</v>
      </c>
      <c r="I27" s="174">
        <f>0.2715*(100)</f>
        <v>27.150000000000002</v>
      </c>
      <c r="J27" s="174">
        <f>0.3373*(100)</f>
        <v>33.729999999999997</v>
      </c>
    </row>
    <row r="29" spans="1:10" ht="32.25" customHeight="1">
      <c r="A29" s="273" t="s">
        <v>438</v>
      </c>
      <c r="B29" s="273"/>
      <c r="C29" s="273"/>
      <c r="D29" s="273"/>
      <c r="E29" s="273"/>
      <c r="F29" s="273"/>
      <c r="G29" s="273"/>
      <c r="H29" s="273"/>
      <c r="I29" s="273"/>
      <c r="J29" s="273"/>
    </row>
    <row r="30" spans="1:10">
      <c r="A30" s="119" t="s">
        <v>439</v>
      </c>
    </row>
  </sheetData>
  <mergeCells count="4">
    <mergeCell ref="B4:D4"/>
    <mergeCell ref="E4:G4"/>
    <mergeCell ref="H4:J4"/>
    <mergeCell ref="A29:J2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J46"/>
  <sheetViews>
    <sheetView workbookViewId="0"/>
  </sheetViews>
  <sheetFormatPr defaultRowHeight="12.75"/>
  <cols>
    <col min="1" max="1" width="9.140625" style="85"/>
    <col min="2" max="2" width="12.42578125" style="85" bestFit="1" customWidth="1"/>
    <col min="3" max="3" width="9.7109375" style="85" bestFit="1" customWidth="1"/>
    <col min="4" max="5" width="13.7109375" style="85" bestFit="1" customWidth="1"/>
    <col min="6" max="6" width="11" style="85" bestFit="1" customWidth="1"/>
    <col min="7" max="7" width="15.140625" style="85" bestFit="1" customWidth="1"/>
    <col min="8" max="8" width="12.42578125" style="85" bestFit="1" customWidth="1"/>
    <col min="9" max="9" width="9.140625" style="85"/>
    <col min="10" max="10" width="10.28515625" style="85" bestFit="1" customWidth="1"/>
    <col min="11" max="16384" width="9.140625" style="85"/>
  </cols>
  <sheetData>
    <row r="1" spans="1:10" ht="15" customHeight="1">
      <c r="A1" s="120" t="s">
        <v>464</v>
      </c>
      <c r="B1" s="121"/>
      <c r="C1" s="119"/>
      <c r="D1" s="121"/>
      <c r="E1" s="121"/>
      <c r="F1" s="122"/>
      <c r="G1" s="121"/>
      <c r="H1" s="121"/>
    </row>
    <row r="2" spans="1:10" ht="15.75">
      <c r="A2" s="123"/>
      <c r="B2" s="121"/>
      <c r="C2" s="121"/>
      <c r="D2" s="121"/>
      <c r="E2" s="121"/>
      <c r="F2" s="121"/>
      <c r="G2" s="121"/>
      <c r="H2" s="121"/>
    </row>
    <row r="3" spans="1:10">
      <c r="A3" s="121" t="s">
        <v>42</v>
      </c>
      <c r="B3" s="121"/>
      <c r="C3" s="121"/>
      <c r="D3" s="121"/>
      <c r="E3" s="121"/>
      <c r="F3" s="121"/>
      <c r="G3" s="121"/>
      <c r="H3" s="121"/>
    </row>
    <row r="4" spans="1:10">
      <c r="A4" s="124"/>
      <c r="B4" s="124"/>
      <c r="C4" s="124"/>
      <c r="D4" s="124"/>
      <c r="E4" s="124"/>
      <c r="F4" s="124"/>
      <c r="G4" s="124"/>
      <c r="H4" s="124"/>
    </row>
    <row r="5" spans="1:10">
      <c r="A5" s="124"/>
      <c r="B5" s="124"/>
      <c r="C5" s="124"/>
      <c r="D5" s="124" t="s">
        <v>41</v>
      </c>
      <c r="E5" s="124" t="s">
        <v>40</v>
      </c>
      <c r="F5" s="124"/>
      <c r="G5" s="274" t="s">
        <v>39</v>
      </c>
      <c r="H5" s="274"/>
    </row>
    <row r="6" spans="1:10">
      <c r="A6" s="124"/>
      <c r="B6" s="124" t="s">
        <v>38</v>
      </c>
      <c r="C6" s="124" t="s">
        <v>37</v>
      </c>
      <c r="D6" s="124" t="s">
        <v>36</v>
      </c>
      <c r="E6" s="124" t="s">
        <v>35</v>
      </c>
      <c r="F6" s="124" t="s">
        <v>34</v>
      </c>
      <c r="G6" s="124" t="s">
        <v>34</v>
      </c>
      <c r="H6" s="124"/>
    </row>
    <row r="7" spans="1:10">
      <c r="A7" s="124"/>
      <c r="B7" s="124" t="s">
        <v>33</v>
      </c>
      <c r="C7" s="124" t="s">
        <v>32</v>
      </c>
      <c r="D7" s="124" t="s">
        <v>31</v>
      </c>
      <c r="E7" s="124" t="s">
        <v>31</v>
      </c>
      <c r="F7" s="124" t="s">
        <v>30</v>
      </c>
      <c r="G7" s="124" t="s">
        <v>30</v>
      </c>
      <c r="H7" s="124" t="s">
        <v>29</v>
      </c>
    </row>
    <row r="8" spans="1:10">
      <c r="A8" s="125" t="s">
        <v>15</v>
      </c>
      <c r="B8" s="125" t="s">
        <v>12</v>
      </c>
      <c r="C8" s="125" t="s">
        <v>28</v>
      </c>
      <c r="D8" s="125" t="s">
        <v>305</v>
      </c>
      <c r="E8" s="125" t="s">
        <v>305</v>
      </c>
      <c r="F8" s="125" t="s">
        <v>12</v>
      </c>
      <c r="G8" s="125" t="s">
        <v>27</v>
      </c>
      <c r="H8" s="125" t="s">
        <v>26</v>
      </c>
    </row>
    <row r="9" spans="1:10">
      <c r="A9" s="126"/>
      <c r="B9" s="126"/>
      <c r="C9" s="126"/>
      <c r="D9" s="126"/>
      <c r="E9" s="126"/>
      <c r="F9" s="126"/>
      <c r="G9" s="126"/>
      <c r="H9" s="126"/>
    </row>
    <row r="10" spans="1:10">
      <c r="A10" s="127">
        <v>1980</v>
      </c>
      <c r="B10" s="138">
        <v>12.84</v>
      </c>
      <c r="C10" s="128">
        <v>27.2</v>
      </c>
      <c r="D10" s="129">
        <v>141.13284344660195</v>
      </c>
      <c r="E10" s="129">
        <v>200.3704199029126</v>
      </c>
      <c r="F10" s="130">
        <v>72.900000000000006</v>
      </c>
      <c r="G10" s="131">
        <v>10</v>
      </c>
      <c r="H10" s="132" t="s">
        <v>25</v>
      </c>
      <c r="J10" s="86"/>
    </row>
    <row r="11" spans="1:10">
      <c r="A11" s="127">
        <v>1981</v>
      </c>
      <c r="B11" s="138">
        <v>14.91</v>
      </c>
      <c r="C11" s="130">
        <v>26.4</v>
      </c>
      <c r="D11" s="129">
        <v>132.88475577557756</v>
      </c>
      <c r="E11" s="129">
        <v>188.8101837183718</v>
      </c>
      <c r="F11" s="130">
        <v>73.099999999999994</v>
      </c>
      <c r="G11" s="131">
        <v>15</v>
      </c>
      <c r="H11" s="132" t="s">
        <v>25</v>
      </c>
      <c r="J11" s="86"/>
    </row>
    <row r="12" spans="1:10">
      <c r="A12" s="127">
        <v>1982</v>
      </c>
      <c r="B12" s="138">
        <v>15.31</v>
      </c>
      <c r="C12" s="130">
        <v>25.6</v>
      </c>
      <c r="D12" s="129">
        <v>128.20357512953368</v>
      </c>
      <c r="E12" s="129">
        <v>182.74836891191711</v>
      </c>
      <c r="F12" s="130">
        <v>72.900000000000006</v>
      </c>
      <c r="G12" s="131">
        <v>21</v>
      </c>
      <c r="H12" s="131">
        <v>41</v>
      </c>
      <c r="I12" s="87"/>
      <c r="J12" s="86"/>
    </row>
    <row r="13" spans="1:10">
      <c r="A13" s="127">
        <v>1983</v>
      </c>
      <c r="B13" s="138">
        <v>12.73</v>
      </c>
      <c r="C13" s="130">
        <v>26</v>
      </c>
      <c r="D13" s="129">
        <v>135.27957931726908</v>
      </c>
      <c r="E13" s="129">
        <v>187.67500903614459</v>
      </c>
      <c r="F13" s="130">
        <v>74.5</v>
      </c>
      <c r="G13" s="131">
        <v>21</v>
      </c>
      <c r="H13" s="131">
        <v>40</v>
      </c>
      <c r="I13" s="87"/>
      <c r="J13" s="86"/>
    </row>
    <row r="14" spans="1:10">
      <c r="A14" s="127">
        <v>1984</v>
      </c>
      <c r="B14" s="138">
        <v>12.48</v>
      </c>
      <c r="C14" s="130">
        <v>26.8</v>
      </c>
      <c r="D14" s="129">
        <v>139.63970644850815</v>
      </c>
      <c r="E14" s="129">
        <v>187.48524927815203</v>
      </c>
      <c r="F14" s="130">
        <v>77</v>
      </c>
      <c r="G14" s="131">
        <v>27</v>
      </c>
      <c r="H14" s="131">
        <v>62</v>
      </c>
      <c r="I14" s="87"/>
      <c r="J14" s="86"/>
    </row>
    <row r="15" spans="1:10">
      <c r="A15" s="127">
        <v>1985</v>
      </c>
      <c r="B15" s="138">
        <v>11.64</v>
      </c>
      <c r="C15" s="130">
        <v>25.9</v>
      </c>
      <c r="D15" s="129">
        <v>146.75388289962825</v>
      </c>
      <c r="E15" s="129">
        <v>200.89812174721189</v>
      </c>
      <c r="F15" s="130">
        <v>75.8</v>
      </c>
      <c r="G15" s="131">
        <v>21</v>
      </c>
      <c r="H15" s="131">
        <v>51</v>
      </c>
      <c r="I15" s="87"/>
      <c r="J15" s="86"/>
    </row>
    <row r="16" spans="1:10">
      <c r="A16" s="127">
        <v>1986</v>
      </c>
      <c r="B16" s="138">
        <v>10.18</v>
      </c>
      <c r="C16" s="130">
        <v>25.6</v>
      </c>
      <c r="D16" s="129">
        <v>162.7523968978102</v>
      </c>
      <c r="E16" s="129">
        <v>226.99136313868613</v>
      </c>
      <c r="F16" s="130">
        <v>74.099999999999994</v>
      </c>
      <c r="G16" s="131">
        <v>11</v>
      </c>
      <c r="H16" s="131">
        <v>30</v>
      </c>
      <c r="I16" s="87"/>
      <c r="J16" s="86"/>
    </row>
    <row r="17" spans="1:10">
      <c r="A17" s="127">
        <v>1987</v>
      </c>
      <c r="B17" s="138">
        <v>9.3000000000000007</v>
      </c>
      <c r="C17" s="130">
        <v>26.8</v>
      </c>
      <c r="D17" s="129">
        <v>176.42662764084506</v>
      </c>
      <c r="E17" s="129">
        <v>241.17579401408452</v>
      </c>
      <c r="F17" s="130">
        <v>75.2</v>
      </c>
      <c r="G17" s="131">
        <v>8</v>
      </c>
      <c r="H17" s="131">
        <v>43</v>
      </c>
      <c r="I17" s="87"/>
      <c r="J17" s="86"/>
    </row>
    <row r="18" spans="1:10">
      <c r="A18" s="127">
        <v>1988</v>
      </c>
      <c r="B18" s="138">
        <v>9.3000000000000007</v>
      </c>
      <c r="C18" s="130">
        <v>27.7</v>
      </c>
      <c r="D18" s="129">
        <v>185.19914285714287</v>
      </c>
      <c r="E18" s="129">
        <v>250.22800000000001</v>
      </c>
      <c r="F18" s="130">
        <v>76.010000000000005</v>
      </c>
      <c r="G18" s="131">
        <v>8</v>
      </c>
      <c r="H18" s="131">
        <v>58</v>
      </c>
      <c r="I18" s="87"/>
      <c r="J18" s="86"/>
    </row>
    <row r="19" spans="1:10">
      <c r="A19" s="127">
        <v>1989</v>
      </c>
      <c r="B19" s="138">
        <v>10.130000000000001</v>
      </c>
      <c r="C19" s="130">
        <v>27.7</v>
      </c>
      <c r="D19" s="129">
        <v>189.56552822580645</v>
      </c>
      <c r="E19" s="129">
        <v>259.04265483870972</v>
      </c>
      <c r="F19" s="130">
        <v>74.8</v>
      </c>
      <c r="G19" s="131">
        <v>7</v>
      </c>
      <c r="H19" s="131">
        <v>38</v>
      </c>
      <c r="I19" s="87"/>
      <c r="J19" s="86"/>
    </row>
    <row r="20" spans="1:10">
      <c r="A20" s="127">
        <v>1990</v>
      </c>
      <c r="B20" s="138">
        <v>10.050000000000001</v>
      </c>
      <c r="C20" s="130">
        <v>27</v>
      </c>
      <c r="D20" s="129">
        <v>178.98742157612855</v>
      </c>
      <c r="E20" s="129">
        <v>245.41929150726855</v>
      </c>
      <c r="F20" s="130">
        <v>74.7</v>
      </c>
      <c r="G20" s="131">
        <v>8</v>
      </c>
      <c r="H20" s="131">
        <v>28</v>
      </c>
      <c r="I20" s="87"/>
      <c r="J20" s="86"/>
    </row>
    <row r="21" spans="1:10">
      <c r="A21" s="127">
        <v>1991</v>
      </c>
      <c r="B21" s="138">
        <v>9.34</v>
      </c>
      <c r="C21" s="130">
        <v>26.5</v>
      </c>
      <c r="D21" s="129">
        <v>175.5581182085169</v>
      </c>
      <c r="E21" s="129">
        <v>242.28011233480177</v>
      </c>
      <c r="F21" s="130">
        <v>74.400000000000006</v>
      </c>
      <c r="G21" s="131">
        <v>9</v>
      </c>
      <c r="H21" s="131">
        <v>23</v>
      </c>
      <c r="I21" s="87"/>
      <c r="J21" s="86"/>
    </row>
    <row r="22" spans="1:10">
      <c r="A22" s="127">
        <v>1992</v>
      </c>
      <c r="B22" s="138">
        <v>8.11</v>
      </c>
      <c r="C22" s="130">
        <v>25.4</v>
      </c>
      <c r="D22" s="129">
        <v>174.2756186742694</v>
      </c>
      <c r="E22" s="129">
        <v>234.71895652173913</v>
      </c>
      <c r="F22" s="130">
        <v>76.599999999999994</v>
      </c>
      <c r="G22" s="131">
        <v>14</v>
      </c>
      <c r="H22" s="131">
        <v>20</v>
      </c>
      <c r="I22" s="87"/>
      <c r="J22" s="86"/>
    </row>
    <row r="23" spans="1:10">
      <c r="A23" s="127">
        <v>1993</v>
      </c>
      <c r="B23" s="138">
        <v>7.13</v>
      </c>
      <c r="C23" s="130">
        <v>25.5</v>
      </c>
      <c r="D23" s="129">
        <v>166.56382698961937</v>
      </c>
      <c r="E23" s="129">
        <v>222.75966020761246</v>
      </c>
      <c r="F23" s="130">
        <v>77.2</v>
      </c>
      <c r="G23" s="131">
        <v>17</v>
      </c>
      <c r="H23" s="131">
        <v>20</v>
      </c>
      <c r="I23" s="87"/>
      <c r="J23" s="86"/>
    </row>
    <row r="24" spans="1:10">
      <c r="A24" s="127">
        <v>1994</v>
      </c>
      <c r="B24" s="138">
        <v>7.49</v>
      </c>
      <c r="C24" s="130">
        <v>27.1</v>
      </c>
      <c r="D24" s="129">
        <v>166.80699122807019</v>
      </c>
      <c r="E24" s="129">
        <v>215.52859649122809</v>
      </c>
      <c r="F24" s="130">
        <v>79.900000000000006</v>
      </c>
      <c r="G24" s="131">
        <v>25</v>
      </c>
      <c r="H24" s="131">
        <v>39</v>
      </c>
      <c r="I24" s="87"/>
      <c r="J24" s="86"/>
    </row>
    <row r="25" spans="1:10">
      <c r="A25" s="127">
        <v>1995</v>
      </c>
      <c r="B25" s="138">
        <v>7.85</v>
      </c>
      <c r="C25" s="130">
        <v>27.4</v>
      </c>
      <c r="D25" s="129">
        <v>162.947937007874</v>
      </c>
      <c r="E25" s="129">
        <v>210.76961417322835</v>
      </c>
      <c r="F25" s="130">
        <v>79.900000000000006</v>
      </c>
      <c r="G25" s="131">
        <v>27</v>
      </c>
      <c r="H25" s="131">
        <v>32</v>
      </c>
      <c r="I25" s="87"/>
      <c r="J25" s="86"/>
    </row>
    <row r="26" spans="1:10">
      <c r="A26" s="127">
        <v>1996</v>
      </c>
      <c r="B26" s="138">
        <v>7.74</v>
      </c>
      <c r="C26" s="130">
        <v>26.9</v>
      </c>
      <c r="D26" s="129">
        <v>170.17373677501593</v>
      </c>
      <c r="E26" s="129">
        <v>222.35843785850858</v>
      </c>
      <c r="F26" s="130">
        <v>79</v>
      </c>
      <c r="G26" s="131">
        <v>25</v>
      </c>
      <c r="H26" s="131">
        <v>27</v>
      </c>
      <c r="I26" s="87"/>
      <c r="J26" s="86"/>
    </row>
    <row r="27" spans="1:10">
      <c r="A27" s="127">
        <v>1997</v>
      </c>
      <c r="B27" s="138">
        <v>7.68</v>
      </c>
      <c r="C27" s="130">
        <v>27.5</v>
      </c>
      <c r="D27" s="129">
        <v>177.42851962616822</v>
      </c>
      <c r="E27" s="129">
        <v>230.54495638629282</v>
      </c>
      <c r="F27" s="130">
        <v>79.400000000000006</v>
      </c>
      <c r="G27" s="131">
        <v>25</v>
      </c>
      <c r="H27" s="131">
        <v>22</v>
      </c>
      <c r="I27" s="87"/>
      <c r="J27" s="86"/>
    </row>
    <row r="28" spans="1:10">
      <c r="A28" s="127">
        <v>1998</v>
      </c>
      <c r="B28" s="138">
        <v>7.1</v>
      </c>
      <c r="C28" s="130">
        <v>27.8</v>
      </c>
      <c r="D28" s="129">
        <v>181.88319141104296</v>
      </c>
      <c r="E28" s="129">
        <v>239.290936196319</v>
      </c>
      <c r="F28" s="130">
        <v>78.900000000000006</v>
      </c>
      <c r="G28" s="131">
        <v>25</v>
      </c>
      <c r="H28" s="131">
        <v>12</v>
      </c>
      <c r="I28" s="87"/>
      <c r="J28" s="86"/>
    </row>
    <row r="29" spans="1:10">
      <c r="A29" s="127">
        <v>1999</v>
      </c>
      <c r="B29" s="138">
        <v>7.25</v>
      </c>
      <c r="C29" s="130">
        <v>28.2</v>
      </c>
      <c r="D29" s="129">
        <v>188.07924789915967</v>
      </c>
      <c r="E29" s="129">
        <v>248.70206362545014</v>
      </c>
      <c r="F29" s="130">
        <v>78.5</v>
      </c>
      <c r="G29" s="131">
        <v>23</v>
      </c>
      <c r="H29" s="131">
        <v>21</v>
      </c>
      <c r="I29" s="87"/>
      <c r="J29" s="86"/>
    </row>
    <row r="30" spans="1:10">
      <c r="A30" s="127">
        <v>2000</v>
      </c>
      <c r="B30" s="138">
        <v>7.96</v>
      </c>
      <c r="C30" s="130">
        <v>28.7</v>
      </c>
      <c r="D30" s="129">
        <v>193.71924332171892</v>
      </c>
      <c r="E30" s="129">
        <v>259.81630139372828</v>
      </c>
      <c r="F30" s="130">
        <v>77.8</v>
      </c>
      <c r="G30" s="131">
        <v>22</v>
      </c>
      <c r="H30" s="131">
        <v>24</v>
      </c>
      <c r="I30" s="87"/>
      <c r="J30" s="86"/>
    </row>
    <row r="31" spans="1:10">
      <c r="A31" s="127">
        <v>2001</v>
      </c>
      <c r="B31" s="138">
        <v>7.03</v>
      </c>
      <c r="C31" s="130">
        <v>27.6</v>
      </c>
      <c r="D31" s="129">
        <v>197.75834161490681</v>
      </c>
      <c r="E31" s="129">
        <v>273.7117701863354</v>
      </c>
      <c r="F31" s="130">
        <v>76.2</v>
      </c>
      <c r="G31" s="131">
        <v>21</v>
      </c>
      <c r="H31" s="131">
        <v>12</v>
      </c>
      <c r="I31" s="87"/>
      <c r="J31" s="86"/>
    </row>
    <row r="32" spans="1:10">
      <c r="A32" s="127">
        <v>2002</v>
      </c>
      <c r="B32" s="138">
        <v>6.51</v>
      </c>
      <c r="C32" s="130">
        <v>27.3</v>
      </c>
      <c r="D32" s="129">
        <v>204.30813007226234</v>
      </c>
      <c r="E32" s="129">
        <v>289.08225013896606</v>
      </c>
      <c r="F32" s="130">
        <v>75.099999999999994</v>
      </c>
      <c r="G32" s="131">
        <v>21</v>
      </c>
      <c r="H32" s="131">
        <v>17</v>
      </c>
      <c r="I32" s="87"/>
      <c r="J32" s="86"/>
    </row>
    <row r="33" spans="1:10">
      <c r="A33" s="127">
        <v>2003</v>
      </c>
      <c r="B33" s="138">
        <v>5.73</v>
      </c>
      <c r="C33" s="130">
        <v>26.8</v>
      </c>
      <c r="D33" s="129">
        <v>205.25683749999999</v>
      </c>
      <c r="E33" s="129">
        <v>297.55517717391302</v>
      </c>
      <c r="F33" s="130">
        <v>73.5</v>
      </c>
      <c r="G33" s="131">
        <v>20</v>
      </c>
      <c r="H33" s="131">
        <v>18</v>
      </c>
      <c r="I33" s="87"/>
      <c r="J33" s="86"/>
    </row>
    <row r="34" spans="1:10">
      <c r="A34" s="127">
        <v>2004</v>
      </c>
      <c r="B34" s="138">
        <v>5.74</v>
      </c>
      <c r="C34" s="130">
        <v>27.9</v>
      </c>
      <c r="D34" s="129">
        <v>220.89033615669663</v>
      </c>
      <c r="E34" s="129">
        <v>311.9852726310217</v>
      </c>
      <c r="F34" s="130">
        <v>74.900000000000006</v>
      </c>
      <c r="G34" s="131">
        <v>18</v>
      </c>
      <c r="H34" s="131">
        <v>35</v>
      </c>
      <c r="I34" s="87"/>
      <c r="J34" s="86"/>
    </row>
    <row r="35" spans="1:10">
      <c r="A35" s="127">
        <v>2005</v>
      </c>
      <c r="B35" s="138">
        <v>5.9</v>
      </c>
      <c r="C35" s="130">
        <v>28.5</v>
      </c>
      <c r="D35" s="129">
        <v>244.05823911930361</v>
      </c>
      <c r="E35" s="129">
        <v>345.2980655401945</v>
      </c>
      <c r="F35" s="130">
        <v>74.7</v>
      </c>
      <c r="G35" s="131">
        <v>15</v>
      </c>
      <c r="H35" s="131">
        <v>30</v>
      </c>
      <c r="I35" s="87"/>
      <c r="J35" s="86"/>
    </row>
    <row r="36" spans="1:10">
      <c r="A36" s="127">
        <v>2006</v>
      </c>
      <c r="B36" s="138">
        <v>6.6</v>
      </c>
      <c r="C36" s="130">
        <v>29</v>
      </c>
      <c r="D36" s="129">
        <v>248.70487648809527</v>
      </c>
      <c r="E36" s="129">
        <v>342.65261359126987</v>
      </c>
      <c r="F36" s="130">
        <v>76.599999999999994</v>
      </c>
      <c r="G36" s="131">
        <v>19</v>
      </c>
      <c r="H36" s="131">
        <v>22</v>
      </c>
      <c r="J36" s="86"/>
    </row>
    <row r="37" spans="1:10">
      <c r="A37" s="127">
        <v>2007</v>
      </c>
      <c r="B37" s="138">
        <v>6.49</v>
      </c>
      <c r="C37" s="130">
        <v>29.3</v>
      </c>
      <c r="D37" s="129">
        <v>243.77016378736576</v>
      </c>
      <c r="E37" s="129">
        <v>326.00326754830184</v>
      </c>
      <c r="F37" s="130">
        <v>79.400000000000006</v>
      </c>
      <c r="G37" s="131">
        <v>29</v>
      </c>
      <c r="H37" s="131">
        <v>11</v>
      </c>
      <c r="J37" s="86"/>
    </row>
    <row r="38" spans="1:10">
      <c r="A38" s="127">
        <v>2008</v>
      </c>
      <c r="B38" s="138">
        <v>6.14</v>
      </c>
      <c r="C38" s="130">
        <v>28.4</v>
      </c>
      <c r="D38" s="129">
        <v>229.63726562100854</v>
      </c>
      <c r="E38" s="129">
        <v>319.79966790987589</v>
      </c>
      <c r="F38" s="130">
        <v>76.900000000000006</v>
      </c>
      <c r="G38" s="131">
        <v>20</v>
      </c>
      <c r="H38" s="132">
        <v>7</v>
      </c>
      <c r="J38" s="86"/>
    </row>
    <row r="39" spans="1:10">
      <c r="A39" s="127">
        <v>2009</v>
      </c>
      <c r="B39" s="138">
        <v>5.14</v>
      </c>
      <c r="C39" s="130">
        <v>28.2</v>
      </c>
      <c r="D39" s="129">
        <v>228.36020919468436</v>
      </c>
      <c r="E39" s="129">
        <v>322.19968909791788</v>
      </c>
      <c r="F39" s="130">
        <v>74.5</v>
      </c>
      <c r="G39" s="131">
        <v>8</v>
      </c>
      <c r="H39" s="132" t="s">
        <v>25</v>
      </c>
      <c r="J39" s="86"/>
    </row>
    <row r="40" spans="1:10">
      <c r="A40" s="127">
        <v>2010</v>
      </c>
      <c r="B40" s="138">
        <v>4.91</v>
      </c>
      <c r="C40" s="130">
        <v>27.7</v>
      </c>
      <c r="D40" s="129">
        <v>222.61178871482554</v>
      </c>
      <c r="E40" s="129">
        <v>314.52425569578452</v>
      </c>
      <c r="F40" s="130">
        <v>74</v>
      </c>
      <c r="G40" s="131">
        <v>9</v>
      </c>
      <c r="H40" s="132">
        <v>5</v>
      </c>
      <c r="J40" s="86"/>
    </row>
    <row r="41" spans="1:10">
      <c r="A41" s="134">
        <v>2011</v>
      </c>
      <c r="B41" s="137">
        <v>4.68</v>
      </c>
      <c r="C41" s="134">
        <v>28.1</v>
      </c>
      <c r="D41" s="136">
        <v>215.2</v>
      </c>
      <c r="E41" s="136">
        <v>296.89999999999992</v>
      </c>
      <c r="F41" s="135">
        <v>76.400000000000006</v>
      </c>
      <c r="G41" s="134">
        <v>14</v>
      </c>
      <c r="H41" s="139">
        <v>12</v>
      </c>
    </row>
    <row r="42" spans="1:10" ht="13.5" customHeight="1">
      <c r="A42" s="119"/>
      <c r="B42" s="119"/>
      <c r="C42" s="119"/>
      <c r="D42" s="129"/>
      <c r="E42" s="129"/>
      <c r="F42" s="128"/>
      <c r="G42" s="119"/>
      <c r="H42" s="133"/>
    </row>
    <row r="43" spans="1:10" ht="43.5" customHeight="1">
      <c r="A43" s="275" t="s">
        <v>378</v>
      </c>
      <c r="B43" s="275"/>
      <c r="C43" s="275"/>
      <c r="D43" s="275"/>
      <c r="E43" s="275"/>
      <c r="F43" s="275"/>
      <c r="G43" s="275"/>
      <c r="H43" s="275"/>
    </row>
    <row r="44" spans="1:10" ht="12.75" customHeight="1">
      <c r="A44" s="276" t="s">
        <v>24</v>
      </c>
      <c r="B44" s="276"/>
      <c r="C44" s="276"/>
      <c r="D44" s="276"/>
      <c r="E44" s="276"/>
      <c r="F44" s="276"/>
      <c r="G44" s="276"/>
      <c r="H44" s="276"/>
    </row>
    <row r="45" spans="1:10">
      <c r="B45" s="84"/>
      <c r="C45" s="84"/>
      <c r="D45" s="84"/>
      <c r="E45" s="84"/>
      <c r="F45" s="84"/>
      <c r="G45" s="84"/>
      <c r="H45" s="84"/>
    </row>
    <row r="46" spans="1:10">
      <c r="A46" s="40"/>
    </row>
  </sheetData>
  <mergeCells count="3">
    <mergeCell ref="G5:H5"/>
    <mergeCell ref="A43:H43"/>
    <mergeCell ref="A44:H44"/>
  </mergeCells>
  <printOptions horizontalCentered="1"/>
  <pageMargins left="0.75" right="0.75" top="1" bottom="1" header="0.5" footer="0.5"/>
  <pageSetup scale="80" orientation="landscape"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K53"/>
  <sheetViews>
    <sheetView zoomScale="125" workbookViewId="0">
      <selection activeCell="K23" sqref="K23"/>
    </sheetView>
  </sheetViews>
  <sheetFormatPr defaultColWidth="8.85546875" defaultRowHeight="15"/>
  <cols>
    <col min="1" max="1" width="1.85546875" style="185" customWidth="1"/>
    <col min="2" max="2" width="30.85546875" style="182" customWidth="1"/>
    <col min="3" max="3" width="8.42578125" style="179" bestFit="1" customWidth="1"/>
    <col min="4" max="4" width="7.5703125" style="180" bestFit="1" customWidth="1"/>
    <col min="5" max="5" width="1.42578125" style="180" customWidth="1"/>
    <col min="6" max="6" width="8.42578125" style="181" bestFit="1" customWidth="1"/>
    <col min="7" max="7" width="7.42578125" style="182" bestFit="1" customWidth="1"/>
    <col min="8" max="8" width="1.5703125" style="182" customWidth="1"/>
    <col min="9" max="9" width="9" style="183" customWidth="1"/>
    <col min="10" max="10" width="7.5703125" style="180" bestFit="1" customWidth="1"/>
    <col min="11" max="11" width="14.42578125" style="184" customWidth="1"/>
    <col min="12" max="16384" width="8.85546875" style="184"/>
  </cols>
  <sheetData>
    <row r="1" spans="1:11">
      <c r="A1" s="178" t="s">
        <v>473</v>
      </c>
      <c r="B1" s="154"/>
    </row>
    <row r="3" spans="1:11">
      <c r="B3" s="182" t="s">
        <v>460</v>
      </c>
      <c r="C3" s="178"/>
      <c r="I3" s="178"/>
      <c r="K3" s="181"/>
    </row>
    <row r="4" spans="1:11">
      <c r="A4" s="186"/>
      <c r="B4" s="187"/>
      <c r="C4" s="178" t="s">
        <v>72</v>
      </c>
      <c r="D4" s="178"/>
      <c r="E4" s="178"/>
      <c r="F4" s="178" t="s">
        <v>71</v>
      </c>
      <c r="G4" s="178"/>
      <c r="H4" s="178"/>
      <c r="I4" s="178" t="s">
        <v>58</v>
      </c>
      <c r="J4" s="178"/>
      <c r="K4" s="178"/>
    </row>
    <row r="5" spans="1:11" s="157" customFormat="1" ht="12.75">
      <c r="C5" s="188" t="s">
        <v>461</v>
      </c>
      <c r="D5" s="189" t="s">
        <v>59</v>
      </c>
      <c r="E5" s="189"/>
      <c r="F5" s="188" t="s">
        <v>462</v>
      </c>
      <c r="G5" s="107" t="s">
        <v>59</v>
      </c>
      <c r="H5" s="107"/>
      <c r="I5" s="188" t="s">
        <v>462</v>
      </c>
      <c r="J5" s="157" t="s">
        <v>59</v>
      </c>
      <c r="K5" s="190"/>
    </row>
    <row r="6" spans="1:11" s="157" customFormat="1" ht="12.75">
      <c r="A6" s="191" t="s">
        <v>58</v>
      </c>
      <c r="B6" s="190"/>
      <c r="C6" s="155">
        <v>39.619743999999997</v>
      </c>
      <c r="D6" s="192">
        <v>1</v>
      </c>
      <c r="E6" s="192"/>
      <c r="F6" s="155">
        <v>74.947704999999999</v>
      </c>
      <c r="G6" s="192">
        <v>1</v>
      </c>
      <c r="H6" s="192"/>
      <c r="I6" s="155">
        <v>114.567449</v>
      </c>
      <c r="J6" s="192">
        <v>1</v>
      </c>
      <c r="K6" s="190"/>
    </row>
    <row r="7" spans="1:11" s="157" customFormat="1" ht="12.75">
      <c r="A7" s="191"/>
      <c r="B7" s="190"/>
      <c r="C7" s="155"/>
      <c r="D7" s="192"/>
      <c r="E7" s="192"/>
      <c r="F7" s="155"/>
      <c r="G7" s="192"/>
      <c r="H7" s="192"/>
      <c r="I7" s="155"/>
      <c r="J7" s="192"/>
      <c r="K7" s="190"/>
    </row>
    <row r="8" spans="1:11" s="157" customFormat="1" ht="12.75">
      <c r="A8" s="108" t="s">
        <v>57</v>
      </c>
      <c r="B8" s="190"/>
      <c r="C8" s="155"/>
      <c r="D8" s="193"/>
      <c r="E8" s="193"/>
      <c r="F8" s="155"/>
      <c r="G8" s="156"/>
      <c r="H8" s="156"/>
      <c r="I8" s="155"/>
      <c r="K8" s="110"/>
    </row>
    <row r="9" spans="1:11" s="157" customFormat="1" ht="12.75">
      <c r="A9" s="108"/>
      <c r="B9" s="109" t="s">
        <v>56</v>
      </c>
      <c r="C9" s="194">
        <v>14.590714999999999</v>
      </c>
      <c r="D9" s="192">
        <v>0.36826878538134927</v>
      </c>
      <c r="E9" s="192"/>
      <c r="F9" s="194">
        <v>8.0418399999999988</v>
      </c>
      <c r="G9" s="192">
        <v>0.10729934959315966</v>
      </c>
      <c r="H9" s="192"/>
      <c r="I9" s="155">
        <v>22.632554999999996</v>
      </c>
      <c r="J9" s="192">
        <v>0.19754786544998484</v>
      </c>
      <c r="K9" s="110"/>
    </row>
    <row r="10" spans="1:11" s="157" customFormat="1" ht="12.75">
      <c r="A10" s="108"/>
      <c r="B10" s="109" t="s">
        <v>391</v>
      </c>
      <c r="C10" s="194">
        <v>8.0981699999999996</v>
      </c>
      <c r="D10" s="192">
        <v>0.2043973328045734</v>
      </c>
      <c r="E10" s="192"/>
      <c r="F10" s="194">
        <v>13.218954</v>
      </c>
      <c r="G10" s="192">
        <v>0.17637570089704549</v>
      </c>
      <c r="H10" s="192"/>
      <c r="I10" s="155">
        <v>21.317124</v>
      </c>
      <c r="J10" s="192">
        <v>0.18606614868416946</v>
      </c>
      <c r="K10" s="110"/>
    </row>
    <row r="11" spans="1:11" s="157" customFormat="1" ht="12.75">
      <c r="A11" s="108"/>
      <c r="B11" s="109" t="s">
        <v>392</v>
      </c>
      <c r="C11" s="194">
        <v>6.9652940000000001</v>
      </c>
      <c r="D11" s="192">
        <v>0.17580360943271112</v>
      </c>
      <c r="E11" s="192"/>
      <c r="F11" s="194">
        <v>17.669826999999998</v>
      </c>
      <c r="G11" s="192">
        <v>0.23576208237463708</v>
      </c>
      <c r="H11" s="192"/>
      <c r="I11" s="155">
        <v>24.635120999999998</v>
      </c>
      <c r="J11" s="192">
        <v>0.21502722819637887</v>
      </c>
      <c r="K11" s="110"/>
    </row>
    <row r="12" spans="1:11" s="157" customFormat="1" ht="12.75">
      <c r="A12" s="108"/>
      <c r="B12" s="109" t="s">
        <v>393</v>
      </c>
      <c r="C12" s="194">
        <v>4.6300469999999994</v>
      </c>
      <c r="D12" s="192">
        <v>0.11686211299093704</v>
      </c>
      <c r="E12" s="192"/>
      <c r="F12" s="194">
        <v>16.443545</v>
      </c>
      <c r="G12" s="192">
        <v>0.21940024714565975</v>
      </c>
      <c r="H12" s="192"/>
      <c r="I12" s="155">
        <v>21.073591999999998</v>
      </c>
      <c r="J12" s="192">
        <v>0.18394048382800249</v>
      </c>
      <c r="K12" s="110"/>
    </row>
    <row r="13" spans="1:11" s="157" customFormat="1" ht="12.75">
      <c r="A13" s="108"/>
      <c r="B13" s="109" t="s">
        <v>394</v>
      </c>
      <c r="C13" s="194">
        <v>5.3355179999999995</v>
      </c>
      <c r="D13" s="192">
        <v>0.13466815939042917</v>
      </c>
      <c r="E13" s="192"/>
      <c r="F13" s="194">
        <v>19.573539</v>
      </c>
      <c r="G13" s="192">
        <v>0.26116261998949802</v>
      </c>
      <c r="H13" s="192"/>
      <c r="I13" s="155">
        <v>24.909057000000001</v>
      </c>
      <c r="J13" s="192">
        <v>0.21741827384146434</v>
      </c>
      <c r="K13" s="110"/>
    </row>
    <row r="14" spans="1:11" s="157" customFormat="1" ht="12.75">
      <c r="A14" s="108"/>
      <c r="B14" s="110"/>
      <c r="C14" s="155"/>
      <c r="D14" s="193"/>
      <c r="E14" s="193"/>
      <c r="F14" s="155"/>
      <c r="G14" s="156"/>
      <c r="H14" s="156"/>
      <c r="I14" s="155"/>
      <c r="K14" s="110"/>
    </row>
    <row r="15" spans="1:11" s="157" customFormat="1" ht="12.75">
      <c r="A15" s="108" t="s">
        <v>78</v>
      </c>
      <c r="B15" s="110"/>
      <c r="C15" s="155"/>
      <c r="D15" s="193"/>
      <c r="E15" s="193"/>
      <c r="F15" s="155"/>
      <c r="G15" s="156"/>
      <c r="H15" s="156"/>
      <c r="I15" s="155"/>
      <c r="K15" s="110"/>
    </row>
    <row r="16" spans="1:11" s="157" customFormat="1" ht="12.75">
      <c r="A16" s="110"/>
      <c r="B16" s="109" t="s">
        <v>342</v>
      </c>
      <c r="C16" s="194">
        <v>4.7733780000000001</v>
      </c>
      <c r="D16" s="192">
        <v>0.1204797789708081</v>
      </c>
      <c r="E16" s="192"/>
      <c r="F16" s="194">
        <v>28.019632999999999</v>
      </c>
      <c r="G16" s="192">
        <v>0.37385578384288087</v>
      </c>
      <c r="H16" s="192"/>
      <c r="I16" s="155">
        <v>32.793011</v>
      </c>
      <c r="J16" s="192">
        <v>0.28623323017343261</v>
      </c>
      <c r="K16" s="109"/>
    </row>
    <row r="17" spans="1:11" s="157" customFormat="1" ht="12.75">
      <c r="A17" s="110"/>
      <c r="B17" s="109" t="s">
        <v>343</v>
      </c>
      <c r="C17" s="194">
        <v>5.5818649999999996</v>
      </c>
      <c r="D17" s="192">
        <v>0.14088594312976885</v>
      </c>
      <c r="E17" s="192"/>
      <c r="F17" s="194">
        <v>17.334982</v>
      </c>
      <c r="G17" s="192">
        <v>0.23129436718575971</v>
      </c>
      <c r="H17" s="192"/>
      <c r="I17" s="155">
        <v>22.916847000000001</v>
      </c>
      <c r="J17" s="192">
        <v>0.20002930326222068</v>
      </c>
      <c r="K17" s="109"/>
    </row>
    <row r="18" spans="1:11" s="157" customFormat="1" ht="12.75">
      <c r="A18" s="110"/>
      <c r="B18" s="109" t="s">
        <v>79</v>
      </c>
      <c r="C18" s="194">
        <v>6.9960529999999999</v>
      </c>
      <c r="D18" s="192">
        <v>0.17657996477715757</v>
      </c>
      <c r="E18" s="192"/>
      <c r="F18" s="194">
        <v>4.1065490000000002</v>
      </c>
      <c r="G18" s="192">
        <v>5.479219143534815E-2</v>
      </c>
      <c r="H18" s="192"/>
      <c r="I18" s="155">
        <v>11.102602000000001</v>
      </c>
      <c r="J18" s="192">
        <v>9.6908869813449372E-2</v>
      </c>
      <c r="K18" s="109"/>
    </row>
    <row r="19" spans="1:11" s="157" customFormat="1" ht="12.75">
      <c r="A19" s="110"/>
      <c r="B19" s="109" t="s">
        <v>80</v>
      </c>
      <c r="C19" s="194">
        <v>3.4488249999999998</v>
      </c>
      <c r="D19" s="192">
        <v>8.7048139432703051E-2</v>
      </c>
      <c r="E19" s="192"/>
      <c r="F19" s="194">
        <v>5.7990339999999998</v>
      </c>
      <c r="G19" s="192">
        <v>7.7374403926044166E-2</v>
      </c>
      <c r="H19" s="192"/>
      <c r="I19" s="155">
        <v>9.2478590000000001</v>
      </c>
      <c r="J19" s="192">
        <v>8.0719777569630613E-2</v>
      </c>
      <c r="K19" s="109"/>
    </row>
    <row r="20" spans="1:11" s="157" customFormat="1" ht="12.75">
      <c r="A20" s="110"/>
      <c r="B20" s="109" t="s">
        <v>81</v>
      </c>
      <c r="C20" s="194">
        <v>14.681785999999999</v>
      </c>
      <c r="D20" s="192">
        <v>0.3705674120458729</v>
      </c>
      <c r="E20" s="192"/>
      <c r="F20" s="194">
        <v>16.764316999999998</v>
      </c>
      <c r="G20" s="192">
        <v>0.22368019140812917</v>
      </c>
      <c r="H20" s="192"/>
      <c r="I20" s="155">
        <v>31.446102999999997</v>
      </c>
      <c r="J20" s="192">
        <v>0.27447676695672957</v>
      </c>
      <c r="K20" s="109"/>
    </row>
    <row r="21" spans="1:11" s="157" customFormat="1" ht="12.75">
      <c r="A21" s="110"/>
      <c r="B21" s="109" t="s">
        <v>344</v>
      </c>
      <c r="C21" s="194">
        <v>4.1378370000000002</v>
      </c>
      <c r="D21" s="192">
        <v>0.10443876164368956</v>
      </c>
      <c r="E21" s="192"/>
      <c r="F21" s="194">
        <v>2.92319</v>
      </c>
      <c r="G21" s="192">
        <v>3.9003062201837933E-2</v>
      </c>
      <c r="H21" s="192"/>
      <c r="I21" s="155">
        <v>7.0610270000000002</v>
      </c>
      <c r="J21" s="192">
        <v>6.163205222453718E-2</v>
      </c>
      <c r="K21" s="109"/>
    </row>
    <row r="22" spans="1:11" s="157" customFormat="1" ht="12.75">
      <c r="A22" s="110"/>
      <c r="B22" s="110"/>
      <c r="C22" s="155"/>
      <c r="F22" s="155"/>
      <c r="G22" s="156"/>
      <c r="H22" s="156"/>
      <c r="I22" s="155"/>
      <c r="K22" s="110"/>
    </row>
    <row r="23" spans="1:11" s="157" customFormat="1" ht="12.75">
      <c r="A23" s="108" t="s">
        <v>54</v>
      </c>
      <c r="B23" s="110"/>
      <c r="C23" s="155"/>
      <c r="F23" s="155"/>
      <c r="G23" s="156"/>
      <c r="H23" s="156"/>
      <c r="I23" s="155"/>
      <c r="K23" s="110"/>
    </row>
    <row r="24" spans="1:11" s="157" customFormat="1" ht="12.75">
      <c r="A24" s="110"/>
      <c r="B24" s="109" t="s">
        <v>53</v>
      </c>
      <c r="C24" s="194">
        <v>22.127907999999998</v>
      </c>
      <c r="D24" s="192">
        <v>0.55850709181765534</v>
      </c>
      <c r="E24" s="192"/>
      <c r="F24" s="194">
        <v>58.701422999999998</v>
      </c>
      <c r="G24" s="192">
        <v>0.78323176139949846</v>
      </c>
      <c r="H24" s="192"/>
      <c r="I24" s="155">
        <v>80.829330999999996</v>
      </c>
      <c r="J24" s="192">
        <v>0.70551741969920267</v>
      </c>
      <c r="K24" s="109"/>
    </row>
    <row r="25" spans="1:11" s="157" customFormat="1" ht="12.75">
      <c r="A25" s="110"/>
      <c r="B25" s="109" t="s">
        <v>51</v>
      </c>
      <c r="C25" s="194">
        <v>7.4929600000000001</v>
      </c>
      <c r="D25" s="192">
        <v>0.18912186812716408</v>
      </c>
      <c r="E25" s="192"/>
      <c r="F25" s="194">
        <v>6.002408</v>
      </c>
      <c r="G25" s="192">
        <v>8.0087949324132074E-2</v>
      </c>
      <c r="H25" s="192"/>
      <c r="I25" s="155">
        <v>13.495367999999999</v>
      </c>
      <c r="J25" s="192">
        <v>0.1177940865210327</v>
      </c>
      <c r="K25" s="109"/>
    </row>
    <row r="26" spans="1:11" s="157" customFormat="1" ht="12.75">
      <c r="A26" s="110"/>
      <c r="B26" s="109" t="s">
        <v>52</v>
      </c>
      <c r="C26" s="194">
        <v>6.9906699999999997</v>
      </c>
      <c r="D26" s="192">
        <v>0.17644409817488976</v>
      </c>
      <c r="E26" s="192"/>
      <c r="F26" s="194">
        <v>6.2782399999999994</v>
      </c>
      <c r="G26" s="192">
        <v>8.3768275492892008E-2</v>
      </c>
      <c r="H26" s="192"/>
      <c r="I26" s="155">
        <v>13.268909999999998</v>
      </c>
      <c r="J26" s="192">
        <v>0.11581745177899527</v>
      </c>
      <c r="K26" s="109"/>
    </row>
    <row r="27" spans="1:11" s="157" customFormat="1" ht="12.75">
      <c r="A27" s="110"/>
      <c r="B27" s="109" t="s">
        <v>50</v>
      </c>
      <c r="C27" s="194">
        <v>3.0082059999999999</v>
      </c>
      <c r="D27" s="192">
        <v>7.5926941880290796E-2</v>
      </c>
      <c r="E27" s="192"/>
      <c r="F27" s="194">
        <v>3.9656339999999997</v>
      </c>
      <c r="G27" s="192">
        <v>5.2912013783477423E-2</v>
      </c>
      <c r="H27" s="192"/>
      <c r="I27" s="155">
        <v>6.9738399999999992</v>
      </c>
      <c r="J27" s="192">
        <v>6.0871042000769343E-2</v>
      </c>
      <c r="K27" s="109"/>
    </row>
    <row r="28" spans="1:11" s="157" customFormat="1" ht="12.75">
      <c r="A28" s="110"/>
      <c r="B28" s="110"/>
      <c r="C28" s="155"/>
      <c r="F28" s="155"/>
      <c r="G28" s="156"/>
      <c r="H28" s="156"/>
      <c r="I28" s="155"/>
      <c r="K28" s="110"/>
    </row>
    <row r="29" spans="1:11" s="157" customFormat="1" ht="12.75">
      <c r="A29" s="108" t="s">
        <v>345</v>
      </c>
      <c r="B29" s="110"/>
      <c r="C29" s="155"/>
      <c r="F29" s="155"/>
      <c r="G29" s="156"/>
      <c r="H29" s="156"/>
      <c r="I29" s="155"/>
      <c r="K29" s="110"/>
    </row>
    <row r="30" spans="1:11" s="157" customFormat="1" ht="12.75">
      <c r="A30" s="110"/>
      <c r="B30" s="109" t="s">
        <v>346</v>
      </c>
      <c r="C30" s="194">
        <v>6.9781499999999994</v>
      </c>
      <c r="D30" s="192">
        <v>0.17612809411388422</v>
      </c>
      <c r="E30" s="192"/>
      <c r="F30" s="194">
        <v>7.3400629999999998</v>
      </c>
      <c r="G30" s="192">
        <v>9.7935794031318232E-2</v>
      </c>
      <c r="H30" s="192"/>
      <c r="I30" s="155">
        <v>14.318213</v>
      </c>
      <c r="J30" s="192">
        <v>0.12497627489287991</v>
      </c>
      <c r="K30" s="109"/>
    </row>
    <row r="31" spans="1:11" s="157" customFormat="1" ht="12.75">
      <c r="A31" s="110"/>
      <c r="B31" s="109" t="s">
        <v>347</v>
      </c>
      <c r="C31" s="194">
        <v>10.834472</v>
      </c>
      <c r="D31" s="192">
        <v>0.27346143377402943</v>
      </c>
      <c r="E31" s="192"/>
      <c r="F31" s="194">
        <v>19.147137999999998</v>
      </c>
      <c r="G31" s="192">
        <v>0.25547330635407717</v>
      </c>
      <c r="H31" s="192"/>
      <c r="I31" s="155">
        <v>29.981609999999996</v>
      </c>
      <c r="J31" s="192">
        <v>0.26169396509823656</v>
      </c>
      <c r="K31" s="109"/>
    </row>
    <row r="32" spans="1:11" s="157" customFormat="1" ht="12.75">
      <c r="A32" s="110"/>
      <c r="B32" s="109" t="s">
        <v>348</v>
      </c>
      <c r="C32" s="194">
        <v>12.952416999999999</v>
      </c>
      <c r="D32" s="192">
        <v>0.32691824056207935</v>
      </c>
      <c r="E32" s="192"/>
      <c r="F32" s="194">
        <v>22.56738</v>
      </c>
      <c r="G32" s="192">
        <v>0.30110835281747456</v>
      </c>
      <c r="H32" s="192"/>
      <c r="I32" s="155">
        <v>35.519796999999997</v>
      </c>
      <c r="J32" s="192">
        <v>0.31003393468244195</v>
      </c>
      <c r="K32" s="109"/>
    </row>
    <row r="33" spans="1:11" s="157" customFormat="1" ht="12.75">
      <c r="A33" s="110"/>
      <c r="B33" s="109" t="s">
        <v>395</v>
      </c>
      <c r="C33" s="194">
        <v>8.8547049999999992</v>
      </c>
      <c r="D33" s="192">
        <v>0.223492231550007</v>
      </c>
      <c r="E33" s="192"/>
      <c r="F33" s="194">
        <v>25.893124</v>
      </c>
      <c r="G33" s="192">
        <v>0.34548254679713009</v>
      </c>
      <c r="H33" s="192"/>
      <c r="I33" s="155">
        <v>34.747828999999996</v>
      </c>
      <c r="J33" s="192">
        <v>0.30329582532644156</v>
      </c>
      <c r="K33" s="109"/>
    </row>
    <row r="34" spans="1:11" s="157" customFormat="1" ht="12.75">
      <c r="A34" s="110"/>
      <c r="B34" s="109"/>
      <c r="C34" s="188"/>
      <c r="D34" s="189"/>
      <c r="E34" s="189"/>
      <c r="F34" s="194"/>
      <c r="G34" s="195"/>
      <c r="H34" s="195"/>
      <c r="I34" s="155"/>
      <c r="K34" s="109"/>
    </row>
    <row r="35" spans="1:11" s="157" customFormat="1" ht="12.75">
      <c r="A35" s="196" t="s">
        <v>350</v>
      </c>
      <c r="B35" s="110"/>
      <c r="C35" s="188"/>
      <c r="F35" s="194"/>
      <c r="G35" s="195"/>
      <c r="H35" s="195"/>
      <c r="I35" s="155"/>
      <c r="K35" s="109"/>
    </row>
    <row r="36" spans="1:11" s="157" customFormat="1" ht="12.75">
      <c r="A36" s="110"/>
      <c r="B36" s="109" t="s">
        <v>62</v>
      </c>
      <c r="C36" s="194">
        <v>20.045099</v>
      </c>
      <c r="D36" s="192">
        <v>0.50593711559569898</v>
      </c>
      <c r="E36" s="192"/>
      <c r="F36" s="194">
        <v>52.168551999999998</v>
      </c>
      <c r="G36" s="192">
        <v>0.69606603697871738</v>
      </c>
      <c r="H36" s="192"/>
      <c r="I36" s="155">
        <v>72.213650999999999</v>
      </c>
      <c r="J36" s="192">
        <v>0.63031560561324884</v>
      </c>
      <c r="K36" s="109"/>
    </row>
    <row r="37" spans="1:11" s="157" customFormat="1" ht="12.75">
      <c r="A37" s="110"/>
      <c r="B37" s="109" t="s">
        <v>63</v>
      </c>
      <c r="C37" s="194">
        <v>8.8806370000000001</v>
      </c>
      <c r="D37" s="192">
        <v>0.22414675369936768</v>
      </c>
      <c r="E37" s="192"/>
      <c r="F37" s="194">
        <v>13.251313999999999</v>
      </c>
      <c r="G37" s="192">
        <v>0.17680746862095378</v>
      </c>
      <c r="H37" s="192"/>
      <c r="I37" s="155">
        <v>22.131951000000001</v>
      </c>
      <c r="J37" s="192">
        <v>0.1931783520814887</v>
      </c>
      <c r="K37" s="109"/>
    </row>
    <row r="38" spans="1:11" s="157" customFormat="1" ht="12.75">
      <c r="A38" s="110"/>
      <c r="B38" s="109" t="s">
        <v>64</v>
      </c>
      <c r="C38" s="194">
        <v>10.694008</v>
      </c>
      <c r="D38" s="192">
        <v>0.26991613070493337</v>
      </c>
      <c r="E38" s="192"/>
      <c r="F38" s="194">
        <v>9.5278390000000002</v>
      </c>
      <c r="G38" s="192">
        <v>0.12712649440032886</v>
      </c>
      <c r="H38" s="192"/>
      <c r="I38" s="155">
        <v>20.221847</v>
      </c>
      <c r="J38" s="192">
        <v>0.17650604230526246</v>
      </c>
      <c r="K38" s="109"/>
    </row>
    <row r="39" spans="1:11" s="157" customFormat="1" ht="12.75">
      <c r="A39" s="110"/>
      <c r="B39" s="109"/>
      <c r="C39" s="188"/>
      <c r="D39" s="189"/>
      <c r="E39" s="189"/>
      <c r="F39" s="194"/>
      <c r="G39" s="195"/>
      <c r="H39" s="195"/>
      <c r="I39" s="155"/>
      <c r="K39" s="109"/>
    </row>
    <row r="40" spans="1:11" s="157" customFormat="1" ht="12.75">
      <c r="A40" s="196" t="s">
        <v>351</v>
      </c>
      <c r="B40" s="109"/>
      <c r="C40" s="188"/>
      <c r="D40" s="189"/>
      <c r="E40" s="189"/>
      <c r="F40" s="194"/>
      <c r="G40" s="195"/>
      <c r="H40" s="195"/>
      <c r="I40" s="155"/>
      <c r="K40" s="109"/>
    </row>
    <row r="41" spans="1:11" s="157" customFormat="1" ht="12.75">
      <c r="A41" s="110"/>
      <c r="B41" s="197" t="s">
        <v>352</v>
      </c>
      <c r="C41" s="194">
        <v>9.9122749999999993</v>
      </c>
      <c r="D41" s="192">
        <v>0.25018523592681469</v>
      </c>
      <c r="E41" s="192"/>
      <c r="F41" s="194">
        <v>5.5695319999999997</v>
      </c>
      <c r="G41" s="192">
        <v>7.4312242116019431E-2</v>
      </c>
      <c r="H41" s="192"/>
      <c r="I41" s="155">
        <v>15.481807</v>
      </c>
      <c r="J41" s="192">
        <v>0.13513268502644238</v>
      </c>
      <c r="K41" s="109"/>
    </row>
    <row r="42" spans="1:11" s="157" customFormat="1" ht="12.75">
      <c r="A42" s="110"/>
      <c r="B42" s="197" t="s">
        <v>396</v>
      </c>
      <c r="C42" s="194">
        <v>9.4891899999999989</v>
      </c>
      <c r="D42" s="192">
        <v>0.23950659549945602</v>
      </c>
      <c r="E42" s="192"/>
      <c r="F42" s="194">
        <v>9.7955719999999999</v>
      </c>
      <c r="G42" s="192">
        <v>0.13069875855438134</v>
      </c>
      <c r="H42" s="192"/>
      <c r="I42" s="155">
        <v>19.284762000000001</v>
      </c>
      <c r="J42" s="192">
        <v>0.16832671206635666</v>
      </c>
      <c r="K42" s="109"/>
    </row>
    <row r="43" spans="1:11" s="157" customFormat="1" ht="12.75">
      <c r="A43" s="110"/>
      <c r="B43" s="197" t="s">
        <v>397</v>
      </c>
      <c r="C43" s="194">
        <v>7.1143109999999998</v>
      </c>
      <c r="D43" s="192">
        <v>0.17956478971696535</v>
      </c>
      <c r="E43" s="192"/>
      <c r="F43" s="194">
        <v>10.504332</v>
      </c>
      <c r="G43" s="192">
        <v>0.14015548574836281</v>
      </c>
      <c r="H43" s="192"/>
      <c r="I43" s="155">
        <v>17.618642999999999</v>
      </c>
      <c r="J43" s="192">
        <v>0.15378402114897399</v>
      </c>
      <c r="K43" s="109"/>
    </row>
    <row r="44" spans="1:11" s="157" customFormat="1" ht="12.75">
      <c r="A44" s="110"/>
      <c r="B44" s="197" t="s">
        <v>398</v>
      </c>
      <c r="C44" s="194">
        <v>7.6212309999999999</v>
      </c>
      <c r="D44" s="192">
        <v>0.19235942059595337</v>
      </c>
      <c r="E44" s="192"/>
      <c r="F44" s="194">
        <v>18.287383999999999</v>
      </c>
      <c r="G44" s="192">
        <v>0.24400192107283339</v>
      </c>
      <c r="H44" s="192"/>
      <c r="I44" s="155">
        <v>25.908614999999998</v>
      </c>
      <c r="J44" s="192">
        <v>0.22614289858195236</v>
      </c>
      <c r="K44" s="109"/>
    </row>
    <row r="45" spans="1:11" s="157" customFormat="1" ht="12.75">
      <c r="A45" s="110"/>
      <c r="B45" s="197" t="s">
        <v>399</v>
      </c>
      <c r="C45" s="194">
        <v>5.4827370000000002</v>
      </c>
      <c r="D45" s="192">
        <v>0.13838395826081057</v>
      </c>
      <c r="E45" s="192"/>
      <c r="F45" s="194">
        <v>30.790884999999999</v>
      </c>
      <c r="G45" s="192">
        <v>0.41083159250840301</v>
      </c>
      <c r="H45" s="192"/>
      <c r="I45" s="155">
        <v>36.273622000000003</v>
      </c>
      <c r="J45" s="192">
        <v>0.31661368317627464</v>
      </c>
      <c r="K45" s="109"/>
    </row>
    <row r="46" spans="1:11" s="157" customFormat="1" ht="12.75">
      <c r="A46" s="110"/>
      <c r="B46" s="198"/>
      <c r="C46" s="199"/>
      <c r="D46" s="192"/>
      <c r="E46" s="192"/>
      <c r="F46" s="192"/>
      <c r="G46" s="109"/>
      <c r="H46" s="109"/>
      <c r="I46" s="156"/>
      <c r="J46" s="154"/>
    </row>
    <row r="47" spans="1:11" s="157" customFormat="1" ht="12.75">
      <c r="A47" s="200"/>
      <c r="B47" s="112"/>
      <c r="C47" s="192"/>
      <c r="D47" s="192"/>
      <c r="E47" s="192"/>
      <c r="F47" s="192"/>
      <c r="G47" s="111"/>
      <c r="H47" s="111"/>
      <c r="I47" s="156"/>
      <c r="J47" s="154"/>
    </row>
    <row r="48" spans="1:11" ht="32.25" customHeight="1">
      <c r="B48" s="277" t="s">
        <v>400</v>
      </c>
      <c r="C48" s="277"/>
      <c r="D48" s="277"/>
      <c r="E48" s="277"/>
      <c r="F48" s="277"/>
      <c r="G48" s="277"/>
      <c r="H48" s="277"/>
      <c r="I48" s="277"/>
      <c r="J48" s="277"/>
      <c r="K48" s="277"/>
    </row>
    <row r="49" spans="1:11">
      <c r="B49" s="201" t="s">
        <v>408</v>
      </c>
      <c r="C49" s="158"/>
      <c r="D49" s="202"/>
      <c r="E49" s="202"/>
      <c r="F49" s="203"/>
      <c r="G49" s="185"/>
      <c r="H49" s="185"/>
      <c r="I49" s="204"/>
    </row>
    <row r="50" spans="1:11">
      <c r="B50" s="205"/>
      <c r="G50" s="205"/>
      <c r="H50" s="205"/>
    </row>
    <row r="52" spans="1:11">
      <c r="B52" s="158"/>
      <c r="G52" s="158"/>
      <c r="H52" s="158"/>
    </row>
    <row r="53" spans="1:11" s="180" customFormat="1">
      <c r="A53" s="185"/>
      <c r="B53" s="158"/>
      <c r="C53" s="179"/>
      <c r="F53" s="181"/>
      <c r="G53" s="158"/>
      <c r="H53" s="158"/>
      <c r="I53" s="183"/>
      <c r="K53" s="184"/>
    </row>
  </sheetData>
  <mergeCells count="1">
    <mergeCell ref="B48:K48"/>
  </mergeCells>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S89"/>
  <sheetViews>
    <sheetView tabSelected="1" workbookViewId="0">
      <selection activeCell="D30" sqref="D30"/>
    </sheetView>
  </sheetViews>
  <sheetFormatPr defaultColWidth="8.85546875" defaultRowHeight="12.75"/>
  <cols>
    <col min="1" max="1" width="12.85546875" style="5" customWidth="1"/>
    <col min="2" max="2" width="12.140625" style="3" customWidth="1"/>
    <col min="3" max="3" width="10.42578125" style="3" customWidth="1"/>
    <col min="4" max="4" width="12.28515625" style="3" bestFit="1" customWidth="1"/>
    <col min="5" max="5" width="10.7109375" style="3" bestFit="1" customWidth="1"/>
    <col min="6" max="6" width="12.7109375" style="3" bestFit="1" customWidth="1"/>
    <col min="7" max="7" width="12.7109375" style="3" customWidth="1"/>
    <col min="8" max="8" width="10" style="3" bestFit="1" customWidth="1"/>
    <col min="9" max="10" width="15.42578125" style="3" customWidth="1"/>
    <col min="11" max="11" width="8.7109375" style="2" customWidth="1"/>
    <col min="12" max="12" width="10.7109375" style="2" customWidth="1"/>
    <col min="13" max="14" width="11.42578125" style="4" bestFit="1" customWidth="1"/>
    <col min="15" max="15" width="18.42578125" style="4" bestFit="1" customWidth="1"/>
    <col min="16" max="16" width="7.42578125" style="3" bestFit="1" customWidth="1"/>
    <col min="17" max="17" width="11.42578125" style="3" bestFit="1" customWidth="1"/>
    <col min="18" max="16384" width="8.85546875" style="2"/>
  </cols>
  <sheetData>
    <row r="1" spans="1:19">
      <c r="A1" s="241" t="s">
        <v>23</v>
      </c>
      <c r="B1" s="16"/>
      <c r="C1" s="16"/>
      <c r="D1" s="16"/>
      <c r="E1" s="16"/>
      <c r="F1" s="16"/>
      <c r="G1" s="16"/>
      <c r="H1" s="16"/>
      <c r="I1" s="39"/>
      <c r="J1" s="39"/>
      <c r="K1" s="18"/>
      <c r="L1" s="18"/>
      <c r="M1" s="16"/>
      <c r="N1" s="16"/>
      <c r="O1" s="17"/>
      <c r="P1" s="16"/>
      <c r="Q1" s="16"/>
      <c r="R1" s="12"/>
      <c r="S1" s="12"/>
    </row>
    <row r="2" spans="1:19">
      <c r="A2" s="38"/>
      <c r="B2" s="22"/>
      <c r="C2" s="22"/>
      <c r="D2" s="22"/>
      <c r="E2" s="22"/>
      <c r="F2" s="22"/>
      <c r="G2" s="22"/>
      <c r="H2" s="22"/>
      <c r="I2" s="37"/>
      <c r="J2" s="37"/>
      <c r="K2" s="32"/>
      <c r="L2" s="32"/>
      <c r="M2" s="22"/>
      <c r="N2" s="22"/>
      <c r="O2" s="31"/>
      <c r="P2" s="22"/>
      <c r="Q2" s="22"/>
      <c r="R2" s="12"/>
      <c r="S2" s="12"/>
    </row>
    <row r="3" spans="1:19">
      <c r="A3" s="38"/>
      <c r="B3" s="22"/>
      <c r="C3" s="22"/>
      <c r="D3" s="22"/>
      <c r="E3" s="22"/>
      <c r="F3" s="22"/>
      <c r="G3" s="22"/>
      <c r="H3" s="22"/>
      <c r="I3" s="37"/>
      <c r="J3" s="37"/>
      <c r="K3" s="32"/>
      <c r="L3" s="32"/>
      <c r="M3" s="22"/>
      <c r="N3" s="22"/>
      <c r="O3" s="31"/>
      <c r="P3" s="22"/>
      <c r="Q3" s="22"/>
      <c r="R3" s="12"/>
      <c r="S3" s="12"/>
    </row>
    <row r="4" spans="1:19">
      <c r="A4" s="36"/>
      <c r="B4" s="35"/>
      <c r="C4" s="33"/>
      <c r="D4" s="33"/>
      <c r="E4" s="33"/>
      <c r="F4" s="34"/>
      <c r="G4" s="33"/>
      <c r="H4" s="33"/>
      <c r="I4" s="22"/>
      <c r="J4" s="22"/>
      <c r="K4" s="32"/>
      <c r="L4" s="32"/>
      <c r="M4" s="22"/>
      <c r="N4" s="22"/>
      <c r="O4" s="31"/>
      <c r="P4" s="22"/>
      <c r="Q4" s="22"/>
      <c r="R4" s="12"/>
      <c r="S4" s="12"/>
    </row>
    <row r="5" spans="1:19" ht="25.5" customHeight="1">
      <c r="A5" s="13"/>
      <c r="B5" s="253" t="s">
        <v>22</v>
      </c>
      <c r="C5" s="253"/>
      <c r="D5" s="253" t="s">
        <v>21</v>
      </c>
      <c r="E5" s="253"/>
      <c r="F5" s="253"/>
      <c r="G5" s="253" t="s">
        <v>20</v>
      </c>
      <c r="H5" s="253"/>
      <c r="I5" s="257" t="s">
        <v>19</v>
      </c>
      <c r="J5" s="257"/>
      <c r="K5" s="258" t="s">
        <v>18</v>
      </c>
      <c r="L5" s="258"/>
      <c r="M5" s="253" t="s">
        <v>17</v>
      </c>
      <c r="N5" s="253"/>
      <c r="O5" s="253"/>
      <c r="P5" s="253" t="s">
        <v>16</v>
      </c>
      <c r="Q5" s="253"/>
      <c r="R5" s="12"/>
      <c r="S5" s="12"/>
    </row>
    <row r="6" spans="1:19">
      <c r="A6" s="30" t="s">
        <v>15</v>
      </c>
      <c r="B6" s="254" t="s">
        <v>14</v>
      </c>
      <c r="C6" s="254"/>
      <c r="D6" s="254" t="s">
        <v>14</v>
      </c>
      <c r="E6" s="254"/>
      <c r="F6" s="254"/>
      <c r="G6" s="254" t="s">
        <v>13</v>
      </c>
      <c r="H6" s="254"/>
      <c r="I6" s="255" t="s">
        <v>359</v>
      </c>
      <c r="J6" s="255"/>
      <c r="K6" s="256" t="s">
        <v>12</v>
      </c>
      <c r="L6" s="256"/>
      <c r="M6" s="254" t="s">
        <v>360</v>
      </c>
      <c r="N6" s="254"/>
      <c r="O6" s="254"/>
      <c r="P6" s="254" t="s">
        <v>11</v>
      </c>
      <c r="Q6" s="254"/>
      <c r="R6" s="12"/>
      <c r="S6" s="12"/>
    </row>
    <row r="7" spans="1:19" s="27" customFormat="1">
      <c r="A7" s="13"/>
      <c r="B7" s="29" t="s">
        <v>5</v>
      </c>
      <c r="C7" s="29" t="s">
        <v>4</v>
      </c>
      <c r="D7" s="29" t="s">
        <v>5</v>
      </c>
      <c r="E7" s="29" t="s">
        <v>4</v>
      </c>
      <c r="F7" s="29" t="s">
        <v>10</v>
      </c>
      <c r="G7" s="29" t="s">
        <v>5</v>
      </c>
      <c r="H7" s="29" t="s">
        <v>4</v>
      </c>
      <c r="I7" s="29" t="s">
        <v>9</v>
      </c>
      <c r="J7" s="29" t="s">
        <v>8</v>
      </c>
      <c r="K7" s="29" t="s">
        <v>7</v>
      </c>
      <c r="L7" s="29" t="s">
        <v>6</v>
      </c>
      <c r="M7" s="29" t="s">
        <v>5</v>
      </c>
      <c r="N7" s="29" t="s">
        <v>4</v>
      </c>
      <c r="O7" s="29" t="s">
        <v>3</v>
      </c>
      <c r="P7" s="29" t="s">
        <v>2</v>
      </c>
      <c r="Q7" s="29" t="s">
        <v>1</v>
      </c>
      <c r="R7" s="26"/>
      <c r="S7" s="28"/>
    </row>
    <row r="8" spans="1:19" s="27" customFormat="1">
      <c r="A8" s="13">
        <v>1980</v>
      </c>
      <c r="B8" s="22">
        <v>710.4</v>
      </c>
      <c r="C8" s="22">
        <v>480.2</v>
      </c>
      <c r="D8" s="22">
        <v>852.2</v>
      </c>
      <c r="E8" s="22">
        <v>440</v>
      </c>
      <c r="F8" s="22">
        <v>234</v>
      </c>
      <c r="G8" s="22">
        <v>1595</v>
      </c>
      <c r="H8" s="22">
        <v>915</v>
      </c>
      <c r="I8" s="114">
        <f>'[4]Calculations A-1'!D10</f>
        <v>176347.80825242717</v>
      </c>
      <c r="J8" s="114">
        <f>'[4]Calculations A-1'!F10</f>
        <v>169796.18689320385</v>
      </c>
      <c r="K8" s="25">
        <v>1.4</v>
      </c>
      <c r="L8" s="25">
        <v>5.4000000999999997</v>
      </c>
      <c r="M8" s="114">
        <f>'[4]Calculations A-1'!J10</f>
        <v>144465.98081310678</v>
      </c>
      <c r="N8" s="114">
        <f>'[4]Calculations A-1'!K10</f>
        <v>45610.204029126209</v>
      </c>
      <c r="O8" s="242" t="s">
        <v>380</v>
      </c>
      <c r="P8" s="21">
        <v>545</v>
      </c>
      <c r="Q8" s="114">
        <v>2973</v>
      </c>
      <c r="R8" s="26"/>
      <c r="S8" s="28"/>
    </row>
    <row r="9" spans="1:19">
      <c r="A9" s="13">
        <v>1981</v>
      </c>
      <c r="B9" s="22">
        <v>564.29999999999995</v>
      </c>
      <c r="C9" s="22">
        <v>421.2</v>
      </c>
      <c r="D9" s="22">
        <v>705.4</v>
      </c>
      <c r="E9" s="22">
        <v>378.8</v>
      </c>
      <c r="F9" s="22">
        <v>229</v>
      </c>
      <c r="G9" s="22">
        <v>1550</v>
      </c>
      <c r="H9" s="22">
        <v>930</v>
      </c>
      <c r="I9" s="114">
        <f>'[4]Calculations A-1'!D11</f>
        <v>170498.31793179316</v>
      </c>
      <c r="J9" s="114">
        <f>'[4]Calculations A-1'!F11</f>
        <v>164311.87678767875</v>
      </c>
      <c r="K9" s="25">
        <v>1.4</v>
      </c>
      <c r="L9" s="25">
        <v>5</v>
      </c>
      <c r="M9" s="114">
        <f>'[4]Calculations A-1'!J11</f>
        <v>128591.36562156214</v>
      </c>
      <c r="N9" s="114">
        <f>'[4]Calculations A-1'!K11</f>
        <v>43206.10495049505</v>
      </c>
      <c r="O9" s="242" t="s">
        <v>380</v>
      </c>
      <c r="P9" s="21">
        <v>436</v>
      </c>
      <c r="Q9" s="114">
        <v>2419</v>
      </c>
      <c r="R9" s="26"/>
      <c r="S9" s="19"/>
    </row>
    <row r="10" spans="1:19">
      <c r="A10" s="13">
        <v>1982</v>
      </c>
      <c r="B10" s="22">
        <v>546.4</v>
      </c>
      <c r="C10" s="22">
        <v>454.1</v>
      </c>
      <c r="D10" s="22">
        <v>662.6</v>
      </c>
      <c r="E10" s="22">
        <v>399.6</v>
      </c>
      <c r="F10" s="22">
        <v>234</v>
      </c>
      <c r="G10" s="22">
        <v>1520</v>
      </c>
      <c r="H10" s="22">
        <v>925</v>
      </c>
      <c r="I10" s="114">
        <f>'[4]Calculations A-1'!D12</f>
        <v>161536.50466321243</v>
      </c>
      <c r="J10" s="114">
        <f>'[4]Calculations A-1'!F12</f>
        <v>158040.04352331607</v>
      </c>
      <c r="K10" s="25">
        <v>1.5</v>
      </c>
      <c r="L10" s="25">
        <v>5.3000002000000004</v>
      </c>
      <c r="M10" s="114">
        <f>'[4]Calculations A-1'!J12</f>
        <v>96646.847854922278</v>
      </c>
      <c r="N10" s="114">
        <f>'[4]Calculations A-1'!K12</f>
        <v>36218.675461139894</v>
      </c>
      <c r="O10" s="242" t="s">
        <v>380</v>
      </c>
      <c r="P10" s="21">
        <v>412</v>
      </c>
      <c r="Q10" s="114">
        <v>1990</v>
      </c>
      <c r="R10" s="26"/>
      <c r="S10" s="19"/>
    </row>
    <row r="11" spans="1:19">
      <c r="A11" s="13">
        <v>1983</v>
      </c>
      <c r="B11" s="22">
        <v>901.5</v>
      </c>
      <c r="C11" s="22">
        <v>703.7</v>
      </c>
      <c r="D11" s="22">
        <v>1067.5999999999999</v>
      </c>
      <c r="E11" s="22">
        <v>636</v>
      </c>
      <c r="F11" s="22">
        <v>278</v>
      </c>
      <c r="G11" s="22">
        <v>1565</v>
      </c>
      <c r="H11" s="22">
        <v>893</v>
      </c>
      <c r="I11" s="114">
        <f>'[4]Calculations A-1'!D13</f>
        <v>170059.30421686746</v>
      </c>
      <c r="J11" s="114">
        <f>'[4]Calculations A-1'!F13</f>
        <v>158767.18574297189</v>
      </c>
      <c r="K11" s="25">
        <v>1.5</v>
      </c>
      <c r="L11" s="25">
        <v>5.6999997999999996</v>
      </c>
      <c r="M11" s="114">
        <f>'[4]Calculations A-1'!J13</f>
        <v>163767.33580321286</v>
      </c>
      <c r="N11" s="114">
        <f>'[4]Calculations A-1'!K13</f>
        <v>50694.836676706829</v>
      </c>
      <c r="O11" s="242" t="s">
        <v>380</v>
      </c>
      <c r="P11" s="21">
        <v>623</v>
      </c>
      <c r="Q11" s="114">
        <v>2697</v>
      </c>
      <c r="R11" s="26"/>
      <c r="S11" s="19"/>
    </row>
    <row r="12" spans="1:19">
      <c r="A12" s="13">
        <v>1984</v>
      </c>
      <c r="B12" s="22">
        <v>922.4</v>
      </c>
      <c r="C12" s="22">
        <v>759.4</v>
      </c>
      <c r="D12" s="22">
        <v>1084.2</v>
      </c>
      <c r="E12" s="22">
        <v>665.3</v>
      </c>
      <c r="F12" s="22">
        <v>288</v>
      </c>
      <c r="G12" s="22">
        <v>1605</v>
      </c>
      <c r="H12" s="22">
        <v>871</v>
      </c>
      <c r="I12" s="114">
        <f>'[4]Calculations A-1'!D14</f>
        <v>172980.03946102018</v>
      </c>
      <c r="J12" s="114">
        <f>'[4]Calculations A-1'!F14</f>
        <v>156742.86429258902</v>
      </c>
      <c r="K12" s="25">
        <v>1.7</v>
      </c>
      <c r="L12" s="25">
        <v>5.9000000999999997</v>
      </c>
      <c r="M12" s="114">
        <f>'[4]Calculations A-1'!J14</f>
        <v>187041.43315688163</v>
      </c>
      <c r="N12" s="114">
        <f>'[4]Calculations A-1'!K14</f>
        <v>61097.242723772848</v>
      </c>
      <c r="O12" s="242" t="s">
        <v>380</v>
      </c>
      <c r="P12" s="21">
        <v>639</v>
      </c>
      <c r="Q12" s="114">
        <v>2829</v>
      </c>
      <c r="R12" s="26"/>
      <c r="S12" s="19"/>
    </row>
    <row r="13" spans="1:19">
      <c r="A13" s="13">
        <v>1985</v>
      </c>
      <c r="B13" s="22">
        <v>956.6</v>
      </c>
      <c r="C13" s="22">
        <v>776.7</v>
      </c>
      <c r="D13" s="22">
        <v>1072.4000000000001</v>
      </c>
      <c r="E13" s="22">
        <v>670</v>
      </c>
      <c r="F13" s="22">
        <v>283</v>
      </c>
      <c r="G13" s="22">
        <v>1605</v>
      </c>
      <c r="H13" s="22">
        <v>882</v>
      </c>
      <c r="I13" s="114">
        <f>'[4]Calculations A-1'!D15</f>
        <v>176230.09014869889</v>
      </c>
      <c r="J13" s="114">
        <f>'[4]Calculations A-1'!F15</f>
        <v>157833.59200743496</v>
      </c>
      <c r="K13" s="25">
        <v>1.7</v>
      </c>
      <c r="L13" s="25">
        <v>6.5</v>
      </c>
      <c r="M13" s="114">
        <f>'[4]Calculations A-1'!J15</f>
        <v>182606.14916356877</v>
      </c>
      <c r="N13" s="114">
        <f>'[4]Calculations A-1'!K15</f>
        <v>59661.097778810406</v>
      </c>
      <c r="O13" s="242" t="s">
        <v>380</v>
      </c>
      <c r="P13" s="21">
        <v>688</v>
      </c>
      <c r="Q13" s="114">
        <v>3134</v>
      </c>
      <c r="R13" s="26"/>
      <c r="S13" s="19"/>
    </row>
    <row r="14" spans="1:19">
      <c r="A14" s="13">
        <v>1986</v>
      </c>
      <c r="B14" s="22">
        <v>1077.5999999999999</v>
      </c>
      <c r="C14" s="22">
        <v>691.8</v>
      </c>
      <c r="D14" s="22">
        <v>1179.4000000000001</v>
      </c>
      <c r="E14" s="22">
        <v>626</v>
      </c>
      <c r="F14" s="22">
        <v>256</v>
      </c>
      <c r="G14" s="22">
        <v>1660</v>
      </c>
      <c r="H14" s="22">
        <v>876</v>
      </c>
      <c r="I14" s="114">
        <f>'[4]Calculations A-1'!D16</f>
        <v>188817.40875912411</v>
      </c>
      <c r="J14" s="114">
        <f>'[4]Calculations A-1'!F16</f>
        <v>164804.76003649636</v>
      </c>
      <c r="K14" s="25">
        <v>1.6</v>
      </c>
      <c r="L14" s="25">
        <v>7.3000002000000004</v>
      </c>
      <c r="M14" s="114">
        <f>'[4]Calculations A-1'!J16</f>
        <v>213714.62599452556</v>
      </c>
      <c r="N14" s="114">
        <f>'[4]Calculations A-1'!K16</f>
        <v>63701.247098540152</v>
      </c>
      <c r="O14" s="242" t="s">
        <v>380</v>
      </c>
      <c r="P14" s="21">
        <v>750</v>
      </c>
      <c r="Q14" s="114">
        <v>3474</v>
      </c>
      <c r="R14" s="26"/>
      <c r="S14" s="19"/>
    </row>
    <row r="15" spans="1:19">
      <c r="A15" s="13">
        <v>1987</v>
      </c>
      <c r="B15" s="22">
        <v>1024.4000000000001</v>
      </c>
      <c r="C15" s="22">
        <v>510.4</v>
      </c>
      <c r="D15" s="22">
        <v>1146.4000000000001</v>
      </c>
      <c r="E15" s="22">
        <v>474.1</v>
      </c>
      <c r="F15" s="22">
        <v>239</v>
      </c>
      <c r="G15" s="22">
        <v>1755</v>
      </c>
      <c r="H15" s="22">
        <v>920</v>
      </c>
      <c r="I15" s="114">
        <f>'[4]Calculations A-1'!D17</f>
        <v>206920.11883802817</v>
      </c>
      <c r="J15" s="114">
        <f>'[4]Calculations A-1'!F17</f>
        <v>169496.28873239437</v>
      </c>
      <c r="K15" s="25">
        <v>1.7</v>
      </c>
      <c r="L15" s="25">
        <v>7.6999997999999996</v>
      </c>
      <c r="M15" s="114">
        <f>'[4]Calculations A-1'!J17</f>
        <v>232099.03014084508</v>
      </c>
      <c r="N15" s="114">
        <f>'[4]Calculations A-1'!K17</f>
        <v>50397.424542253517</v>
      </c>
      <c r="O15" s="242" t="s">
        <v>380</v>
      </c>
      <c r="P15" s="21">
        <v>671</v>
      </c>
      <c r="Q15" s="114">
        <v>3436</v>
      </c>
      <c r="R15" s="26"/>
      <c r="S15" s="19"/>
    </row>
    <row r="16" spans="1:19">
      <c r="A16" s="13">
        <v>1988</v>
      </c>
      <c r="B16" s="22">
        <v>993.8</v>
      </c>
      <c r="C16" s="22">
        <v>461.8</v>
      </c>
      <c r="D16" s="22">
        <v>1081.3</v>
      </c>
      <c r="E16" s="22">
        <v>406.8</v>
      </c>
      <c r="F16" s="22">
        <v>224</v>
      </c>
      <c r="G16" s="22">
        <v>1810</v>
      </c>
      <c r="H16" s="22">
        <v>940</v>
      </c>
      <c r="I16" s="114">
        <f>'[4]Calculations A-1'!D18</f>
        <v>213910.71428571429</v>
      </c>
      <c r="J16" s="114">
        <f>'[4]Calculations A-1'!F18</f>
        <v>169797.57142857142</v>
      </c>
      <c r="K16" s="25">
        <v>1.6</v>
      </c>
      <c r="L16" s="25">
        <v>7.6999997999999996</v>
      </c>
      <c r="M16" s="114">
        <f>'[4]Calculations A-1'!J18</f>
        <v>228348.26142857142</v>
      </c>
      <c r="N16" s="114">
        <f>'[4]Calculations A-1'!K18</f>
        <v>42398.054285714286</v>
      </c>
      <c r="O16" s="242" t="s">
        <v>380</v>
      </c>
      <c r="P16" s="21">
        <v>676</v>
      </c>
      <c r="Q16" s="114">
        <v>3513</v>
      </c>
      <c r="R16" s="26"/>
      <c r="S16" s="19"/>
    </row>
    <row r="17" spans="1:19">
      <c r="A17" s="13">
        <v>1989</v>
      </c>
      <c r="B17" s="22">
        <v>931.7</v>
      </c>
      <c r="C17" s="22">
        <v>406.7</v>
      </c>
      <c r="D17" s="22">
        <v>1003.3</v>
      </c>
      <c r="E17" s="22">
        <v>372.8</v>
      </c>
      <c r="F17" s="22">
        <v>203</v>
      </c>
      <c r="G17" s="22">
        <v>1850</v>
      </c>
      <c r="H17" s="22">
        <v>940</v>
      </c>
      <c r="I17" s="114">
        <f>'[4]Calculations A-1'!D19</f>
        <v>217682.90322580645</v>
      </c>
      <c r="J17" s="114">
        <f>'[4]Calculations A-1'!F19</f>
        <v>171606.6887096774</v>
      </c>
      <c r="K17" s="25">
        <v>1.8</v>
      </c>
      <c r="L17" s="25">
        <v>7.4000000999999997</v>
      </c>
      <c r="M17" s="114">
        <f>'[4]Calculations A-1'!J19</f>
        <v>219368.1317016129</v>
      </c>
      <c r="N17" s="114">
        <f>'[4]Calculations A-1'!K19</f>
        <v>40459.995612903229</v>
      </c>
      <c r="O17" s="243" t="s">
        <v>381</v>
      </c>
      <c r="P17" s="21">
        <v>650</v>
      </c>
      <c r="Q17" s="114">
        <v>3010</v>
      </c>
      <c r="R17" s="26"/>
      <c r="S17" s="19"/>
    </row>
    <row r="18" spans="1:19">
      <c r="A18" s="13">
        <v>1990</v>
      </c>
      <c r="B18" s="22">
        <v>793.9</v>
      </c>
      <c r="C18" s="22">
        <v>316.89999999999998</v>
      </c>
      <c r="D18" s="22">
        <v>894.8</v>
      </c>
      <c r="E18" s="22">
        <v>297.89999999999998</v>
      </c>
      <c r="F18" s="22">
        <v>195</v>
      </c>
      <c r="G18" s="22">
        <v>1905</v>
      </c>
      <c r="H18" s="22">
        <v>955</v>
      </c>
      <c r="I18" s="114">
        <f>'[4]Calculations A-1'!D20</f>
        <v>211514.94338179036</v>
      </c>
      <c r="J18" s="114">
        <f>'[4]Calculations A-1'!F20</f>
        <v>167456.50114766642</v>
      </c>
      <c r="K18" s="25">
        <v>1.7</v>
      </c>
      <c r="L18" s="25">
        <v>7.1999997999999996</v>
      </c>
      <c r="M18" s="114">
        <f>'[4]Calculations A-1'!J20</f>
        <v>194280.51992348893</v>
      </c>
      <c r="N18" s="114">
        <f>'[4]Calculations A-1'!K20</f>
        <v>33129.883320581488</v>
      </c>
      <c r="O18" s="23" t="s">
        <v>382</v>
      </c>
      <c r="P18" s="21">
        <v>534</v>
      </c>
      <c r="Q18" s="114">
        <v>2914</v>
      </c>
      <c r="R18" s="26"/>
      <c r="S18" s="19"/>
    </row>
    <row r="19" spans="1:19">
      <c r="A19" s="13">
        <v>1991</v>
      </c>
      <c r="B19" s="22">
        <v>753.5</v>
      </c>
      <c r="C19" s="22">
        <v>195.3</v>
      </c>
      <c r="D19" s="22">
        <v>840.4</v>
      </c>
      <c r="E19" s="22">
        <v>173.5</v>
      </c>
      <c r="F19" s="22">
        <v>174</v>
      </c>
      <c r="G19" s="22">
        <v>1890</v>
      </c>
      <c r="H19" s="22">
        <v>980</v>
      </c>
      <c r="I19" s="114">
        <f>'[4]Calculations A-1'!D21</f>
        <v>198184.14096916301</v>
      </c>
      <c r="J19" s="114">
        <f>'[4]Calculations A-1'!F21</f>
        <v>169612.59397944203</v>
      </c>
      <c r="K19" s="25">
        <v>1.7</v>
      </c>
      <c r="L19" s="25">
        <v>7.4000000999999997</v>
      </c>
      <c r="M19" s="114">
        <f>'[4]Calculations A-1'!J21</f>
        <v>164207.12153450807</v>
      </c>
      <c r="N19" s="114">
        <f>'[4]Calculations A-1'!K21</f>
        <v>25017.444728340677</v>
      </c>
      <c r="O19" s="243" t="s">
        <v>381</v>
      </c>
      <c r="P19" s="21">
        <v>509</v>
      </c>
      <c r="Q19" s="114">
        <v>2886</v>
      </c>
      <c r="R19" s="26"/>
      <c r="S19" s="19"/>
    </row>
    <row r="20" spans="1:19">
      <c r="A20" s="5">
        <v>1992</v>
      </c>
      <c r="B20" s="22">
        <v>910.7</v>
      </c>
      <c r="C20" s="22">
        <v>184.2</v>
      </c>
      <c r="D20" s="22">
        <v>1029.9000000000001</v>
      </c>
      <c r="E20" s="22">
        <v>169.8</v>
      </c>
      <c r="F20" s="22">
        <v>212</v>
      </c>
      <c r="G20" s="22">
        <v>1920</v>
      </c>
      <c r="H20" s="22">
        <v>985</v>
      </c>
      <c r="I20" s="114">
        <f>'[4]Calculations A-1'!D22</f>
        <v>194797.49465431218</v>
      </c>
      <c r="J20" s="114">
        <f>'[4]Calculations A-1'!F22</f>
        <v>169145.14967925873</v>
      </c>
      <c r="K20" s="25">
        <v>1.5</v>
      </c>
      <c r="L20" s="25">
        <v>7.4000000999999997</v>
      </c>
      <c r="M20" s="114">
        <f>'[4]Calculations A-1'!J22</f>
        <v>195560.65191732001</v>
      </c>
      <c r="N20" s="114">
        <f>'[4]Calculations A-1'!K22</f>
        <v>20993.237818959369</v>
      </c>
      <c r="O20" s="243" t="s">
        <v>381</v>
      </c>
      <c r="P20" s="21">
        <v>610</v>
      </c>
      <c r="Q20" s="114">
        <v>3151</v>
      </c>
      <c r="R20" s="26"/>
      <c r="S20" s="19"/>
    </row>
    <row r="21" spans="1:19">
      <c r="A21" s="13">
        <v>1993</v>
      </c>
      <c r="B21" s="244">
        <v>986.54899999999998</v>
      </c>
      <c r="C21" s="244">
        <v>212.51400000000001</v>
      </c>
      <c r="D21" s="244">
        <v>1125.7</v>
      </c>
      <c r="E21" s="244">
        <v>162</v>
      </c>
      <c r="F21" s="22">
        <v>242.5</v>
      </c>
      <c r="G21" s="22">
        <v>1945</v>
      </c>
      <c r="H21" s="22">
        <v>1005</v>
      </c>
      <c r="I21" s="114">
        <f>'[4]Calculations A-1'!D23</f>
        <v>196918.91695501731</v>
      </c>
      <c r="J21" s="114">
        <f>'[4]Calculations A-1'!F23</f>
        <v>169832.83667820069</v>
      </c>
      <c r="K21" s="25">
        <v>1.4</v>
      </c>
      <c r="L21" s="25">
        <v>7.3000002000000004</v>
      </c>
      <c r="M21" s="114">
        <f>'[4]Calculations A-1'!J23</f>
        <v>218125.44980622837</v>
      </c>
      <c r="N21" s="114">
        <f>'[4]Calculations A-1'!K23</f>
        <v>16793.369771626298</v>
      </c>
      <c r="O21" s="114">
        <f>'[4]Calculations A-1'!L23</f>
        <v>89149.007550173017</v>
      </c>
      <c r="P21" s="21">
        <v>666</v>
      </c>
      <c r="Q21" s="114">
        <v>3427</v>
      </c>
      <c r="R21" s="26"/>
      <c r="S21" s="19"/>
    </row>
    <row r="22" spans="1:19">
      <c r="A22" s="13">
        <v>1994</v>
      </c>
      <c r="B22" s="244">
        <v>1068.461</v>
      </c>
      <c r="C22" s="244">
        <v>303.17599999999999</v>
      </c>
      <c r="D22" s="244">
        <v>1198.4000000000001</v>
      </c>
      <c r="E22" s="244">
        <v>258.7</v>
      </c>
      <c r="F22" s="22">
        <v>291.3</v>
      </c>
      <c r="G22" s="22">
        <v>1940</v>
      </c>
      <c r="H22" s="22">
        <v>1015</v>
      </c>
      <c r="I22" s="114">
        <f>'[4]Calculations A-1'!D24</f>
        <v>197314.91228070177</v>
      </c>
      <c r="J22" s="114">
        <f>'[4]Calculations A-1'!F24</f>
        <v>172271.09649122809</v>
      </c>
      <c r="K22" s="25">
        <v>1.5</v>
      </c>
      <c r="L22" s="25">
        <v>7.4000000999999997</v>
      </c>
      <c r="M22" s="114">
        <f>'[4]Calculations A-1'!J24</f>
        <v>246353.73921052634</v>
      </c>
      <c r="N22" s="114">
        <f>'[4]Calculations A-1'!K24</f>
        <v>21372.24061403509</v>
      </c>
      <c r="O22" s="114">
        <f>'[4]Calculations A-1'!L24</f>
        <v>98115.599035087725</v>
      </c>
      <c r="P22" s="21">
        <v>670</v>
      </c>
      <c r="Q22" s="114">
        <v>3544</v>
      </c>
      <c r="R22" s="26"/>
      <c r="S22" s="19"/>
    </row>
    <row r="23" spans="1:19">
      <c r="A23" s="13">
        <v>1995</v>
      </c>
      <c r="B23" s="244">
        <v>997.26800000000003</v>
      </c>
      <c r="C23" s="244">
        <v>335.28099999999995</v>
      </c>
      <c r="D23" s="244">
        <v>1076.2</v>
      </c>
      <c r="E23" s="244">
        <v>277.89999999999998</v>
      </c>
      <c r="F23" s="22">
        <v>319.3</v>
      </c>
      <c r="G23" s="22">
        <v>1920</v>
      </c>
      <c r="H23" s="22">
        <v>1040</v>
      </c>
      <c r="I23" s="114">
        <f>'[4]Calculations A-1'!D25</f>
        <v>197633.41272965877</v>
      </c>
      <c r="J23" s="114">
        <f>'[4]Calculations A-1'!F25</f>
        <v>172689.38976377953</v>
      </c>
      <c r="K23" s="25">
        <v>1.5</v>
      </c>
      <c r="L23" s="25">
        <v>7.5999999000000003</v>
      </c>
      <c r="M23" s="114">
        <f>'[4]Calculations A-1'!J25</f>
        <v>226584.7151246719</v>
      </c>
      <c r="N23" s="114">
        <f>'[4]Calculations A-1'!K25</f>
        <v>26403.764901574799</v>
      </c>
      <c r="O23" s="114">
        <f>'[4]Calculations A-1'!L25</f>
        <v>83713.026660104981</v>
      </c>
      <c r="P23" s="21">
        <v>667</v>
      </c>
      <c r="Q23" s="114">
        <v>3519</v>
      </c>
      <c r="R23" s="26"/>
      <c r="S23" s="19"/>
    </row>
    <row r="24" spans="1:19">
      <c r="A24" s="13">
        <v>1996</v>
      </c>
      <c r="B24" s="244">
        <v>1069.472</v>
      </c>
      <c r="C24" s="244">
        <v>356.14400000000001</v>
      </c>
      <c r="D24" s="244">
        <v>1160.9000000000001</v>
      </c>
      <c r="E24" s="244">
        <v>316.10000000000002</v>
      </c>
      <c r="F24" s="22">
        <v>338.3</v>
      </c>
      <c r="G24" s="22">
        <v>1950</v>
      </c>
      <c r="H24" s="22">
        <v>1030</v>
      </c>
      <c r="I24" s="114">
        <f>'[4]Calculations A-1'!D26</f>
        <v>200710.38878266411</v>
      </c>
      <c r="J24" s="114">
        <f>'[4]Calculations A-1'!F26</f>
        <v>175764.95474824728</v>
      </c>
      <c r="K24" s="25">
        <v>1.6</v>
      </c>
      <c r="L24" s="25">
        <v>7.8000002000000004</v>
      </c>
      <c r="M24" s="114">
        <f>'[4]Calculations A-1'!J26</f>
        <v>244852.3378585086</v>
      </c>
      <c r="N24" s="114">
        <f>'[4]Calculations A-1'!K26</f>
        <v>29137.413868706179</v>
      </c>
      <c r="O24" s="114">
        <f>'[4]Calculations A-1'!L26</f>
        <v>95166.83084130018</v>
      </c>
      <c r="P24" s="21">
        <v>757</v>
      </c>
      <c r="Q24" s="114">
        <v>3797</v>
      </c>
      <c r="R24" s="26"/>
      <c r="S24" s="19"/>
    </row>
    <row r="25" spans="1:19">
      <c r="A25" s="13">
        <v>1997</v>
      </c>
      <c r="B25" s="244">
        <v>1062.396</v>
      </c>
      <c r="C25" s="244">
        <v>378.74</v>
      </c>
      <c r="D25" s="244">
        <v>1133.7</v>
      </c>
      <c r="E25" s="244">
        <v>340.3</v>
      </c>
      <c r="F25" s="22">
        <v>336.3</v>
      </c>
      <c r="G25" s="22">
        <v>1975</v>
      </c>
      <c r="H25" s="22">
        <v>1050</v>
      </c>
      <c r="I25" s="114">
        <f>'[4]Calculations A-1'!D27</f>
        <v>204617.40809968847</v>
      </c>
      <c r="J25" s="114">
        <f>'[4]Calculations A-1'!F27</f>
        <v>180792.09345794393</v>
      </c>
      <c r="K25" s="25">
        <v>1.6</v>
      </c>
      <c r="L25" s="25">
        <v>7.6999997999999996</v>
      </c>
      <c r="M25" s="114">
        <f>'[4]Calculations A-1'!J27</f>
        <v>245511.45844859813</v>
      </c>
      <c r="N25" s="114">
        <f>'[4]Calculations A-1'!K27</f>
        <v>32070.274996884735</v>
      </c>
      <c r="O25" s="114">
        <f>'[4]Calculations A-1'!L27</f>
        <v>93386.824461059179</v>
      </c>
      <c r="P25" s="21">
        <v>804</v>
      </c>
      <c r="Q25" s="114">
        <v>3964</v>
      </c>
      <c r="R25" s="26"/>
      <c r="S25" s="19"/>
    </row>
    <row r="26" spans="1:19">
      <c r="A26" s="13">
        <v>1998</v>
      </c>
      <c r="B26" s="244">
        <v>1187.6020000000001</v>
      </c>
      <c r="C26" s="244">
        <v>424.65800000000002</v>
      </c>
      <c r="D26" s="244">
        <v>1271.4000000000001</v>
      </c>
      <c r="E26" s="244">
        <v>345.5</v>
      </c>
      <c r="F26" s="22">
        <v>373.7</v>
      </c>
      <c r="G26" s="22">
        <v>2000</v>
      </c>
      <c r="H26" s="22">
        <v>1020</v>
      </c>
      <c r="I26" s="114">
        <f>'[4]Calculations A-1'!D28</f>
        <v>210449.06441717793</v>
      </c>
      <c r="J26" s="114">
        <f>'[4]Calculations A-1'!F28</f>
        <v>187679.16564417179</v>
      </c>
      <c r="K26" s="25">
        <v>1.7</v>
      </c>
      <c r="L26" s="25">
        <v>7.9000000999999997</v>
      </c>
      <c r="M26" s="114">
        <f>'[4]Calculations A-1'!J28</f>
        <v>275183.19663190184</v>
      </c>
      <c r="N26" s="114">
        <f>'[4]Calculations A-1'!K28</f>
        <v>33911.969239263803</v>
      </c>
      <c r="O26" s="114">
        <f>'[4]Calculations A-1'!L28</f>
        <v>99856.356073619623</v>
      </c>
      <c r="P26" s="21">
        <v>886</v>
      </c>
      <c r="Q26" s="114">
        <v>4495</v>
      </c>
      <c r="R26" s="26"/>
      <c r="S26" s="19"/>
    </row>
    <row r="27" spans="1:19">
      <c r="A27" s="13">
        <v>1999</v>
      </c>
      <c r="B27" s="244">
        <v>1246.665</v>
      </c>
      <c r="C27" s="244">
        <v>416.86799999999999</v>
      </c>
      <c r="D27" s="244">
        <v>1302.4000000000001</v>
      </c>
      <c r="E27" s="244">
        <v>338.5</v>
      </c>
      <c r="F27" s="22">
        <v>338.3</v>
      </c>
      <c r="G27" s="22">
        <v>2028</v>
      </c>
      <c r="H27" s="22">
        <v>1041</v>
      </c>
      <c r="I27" s="114">
        <f>'[4]Calculations A-1'!D29</f>
        <v>217378.02521008404</v>
      </c>
      <c r="J27" s="114">
        <f>'[4]Calculations A-1'!F29</f>
        <v>190644.5786314526</v>
      </c>
      <c r="K27" s="25">
        <v>1.7</v>
      </c>
      <c r="L27" s="25">
        <v>8.1000004000000008</v>
      </c>
      <c r="M27" s="114">
        <f>'[4]Calculations A-1'!J29</f>
        <v>302218.9132232893</v>
      </c>
      <c r="N27" s="114">
        <f>'[4]Calculations A-1'!K29</f>
        <v>37040.67542617047</v>
      </c>
      <c r="O27" s="114">
        <f>'[4]Calculations A-1'!L29</f>
        <v>101304.9106182473</v>
      </c>
      <c r="P27" s="21">
        <v>880</v>
      </c>
      <c r="Q27" s="114">
        <v>4649</v>
      </c>
      <c r="R27" s="26"/>
      <c r="S27" s="19"/>
    </row>
    <row r="28" spans="1:19">
      <c r="A28" s="13">
        <v>2000</v>
      </c>
      <c r="B28" s="244">
        <v>1198.067</v>
      </c>
      <c r="C28" s="244">
        <v>394.20000000000005</v>
      </c>
      <c r="D28" s="244">
        <v>1230.9000000000001</v>
      </c>
      <c r="E28" s="244">
        <v>337.8</v>
      </c>
      <c r="F28" s="22">
        <v>280.89999999999998</v>
      </c>
      <c r="G28" s="22">
        <v>2057</v>
      </c>
      <c r="H28" s="22">
        <v>1039</v>
      </c>
      <c r="I28" s="114">
        <f>'[4]Calculations A-1'!D30</f>
        <v>220758.94889663183</v>
      </c>
      <c r="J28" s="114">
        <f>'[4]Calculations A-1'!F30</f>
        <v>192412.97735191637</v>
      </c>
      <c r="K28" s="25">
        <v>1.6</v>
      </c>
      <c r="L28" s="25">
        <v>8</v>
      </c>
      <c r="M28" s="114">
        <f>'[4]Calculations A-1'!J30</f>
        <v>309308.10645760741</v>
      </c>
      <c r="N28" s="114">
        <f>'[4]Calculations A-1'!K30</f>
        <v>36913.770040650408</v>
      </c>
      <c r="O28" s="114">
        <f>'[4]Calculations A-1'!L30</f>
        <v>105926.41375725901</v>
      </c>
      <c r="P28" s="21">
        <v>877</v>
      </c>
      <c r="Q28" s="114">
        <v>4603</v>
      </c>
      <c r="R28" s="26"/>
      <c r="S28" s="19"/>
    </row>
    <row r="29" spans="1:19">
      <c r="A29" s="13">
        <v>2001</v>
      </c>
      <c r="B29" s="244">
        <v>1235.55</v>
      </c>
      <c r="C29" s="244">
        <v>401.12599999999998</v>
      </c>
      <c r="D29" s="244">
        <v>1273.3</v>
      </c>
      <c r="E29" s="244">
        <v>329.40000000000003</v>
      </c>
      <c r="F29" s="22">
        <v>196.2</v>
      </c>
      <c r="G29" s="22">
        <v>2103</v>
      </c>
      <c r="H29" s="22">
        <v>1104</v>
      </c>
      <c r="I29" s="114">
        <f>'[4]Calculations A-1'!D31</f>
        <v>222525.76397515528</v>
      </c>
      <c r="J29" s="114">
        <f>'[4]Calculations A-1'!F31</f>
        <v>198901.45341614907</v>
      </c>
      <c r="K29" s="25">
        <v>1.8</v>
      </c>
      <c r="L29" s="25">
        <v>8.3999995999999992</v>
      </c>
      <c r="M29" s="114">
        <f>'[4]Calculations A-1'!J31</f>
        <v>316370.16236024845</v>
      </c>
      <c r="N29" s="114">
        <f>'[4]Calculations A-1'!K31</f>
        <v>38491.114596273292</v>
      </c>
      <c r="O29" s="114">
        <f>'[4]Calculations A-1'!L31</f>
        <v>107989.77186335404</v>
      </c>
      <c r="P29" s="21">
        <v>908</v>
      </c>
      <c r="Q29" s="114">
        <v>4735</v>
      </c>
      <c r="R29" s="26"/>
      <c r="S29" s="19"/>
    </row>
    <row r="30" spans="1:19">
      <c r="A30" s="13">
        <v>2002</v>
      </c>
      <c r="B30" s="244">
        <v>1332.62</v>
      </c>
      <c r="C30" s="244">
        <v>415.05799999999999</v>
      </c>
      <c r="D30" s="244">
        <v>1358.6</v>
      </c>
      <c r="E30" s="244">
        <v>346.4</v>
      </c>
      <c r="F30" s="22">
        <v>174.3</v>
      </c>
      <c r="G30" s="22">
        <v>2114</v>
      </c>
      <c r="H30" s="22">
        <v>1070</v>
      </c>
      <c r="I30" s="114">
        <f>'[4]Calculations A-1'!D32</f>
        <v>234566.73929961087</v>
      </c>
      <c r="J30" s="114">
        <f>'[4]Calculations A-1'!F32</f>
        <v>209559.62423568647</v>
      </c>
      <c r="K30" s="25">
        <v>1.7</v>
      </c>
      <c r="L30" s="25">
        <v>8.8999995999999992</v>
      </c>
      <c r="M30" s="114">
        <f>'[4]Calculations A-1'!J32</f>
        <v>332455.84086158976</v>
      </c>
      <c r="N30" s="114">
        <f>'[4]Calculations A-1'!K32</f>
        <v>41201.722779321841</v>
      </c>
      <c r="O30" s="114">
        <f>'[4]Calculations A-1'!L32</f>
        <v>122353.56222901611</v>
      </c>
      <c r="P30" s="21">
        <v>973</v>
      </c>
      <c r="Q30" s="114">
        <v>4974</v>
      </c>
      <c r="R30" s="26"/>
      <c r="S30" s="19"/>
    </row>
    <row r="31" spans="1:19">
      <c r="A31" s="13">
        <v>2003</v>
      </c>
      <c r="B31" s="244">
        <v>1460.8869999999999</v>
      </c>
      <c r="C31" s="244">
        <v>428.327</v>
      </c>
      <c r="D31" s="244">
        <v>1499</v>
      </c>
      <c r="E31" s="244">
        <v>348.7</v>
      </c>
      <c r="F31" s="22">
        <v>139.80000000000001</v>
      </c>
      <c r="G31" s="22">
        <v>2137</v>
      </c>
      <c r="H31" s="22">
        <v>1092</v>
      </c>
      <c r="I31" s="114">
        <f>'[4]Calculations A-1'!D33</f>
        <v>238386.4402173913</v>
      </c>
      <c r="J31" s="114">
        <f>'[4]Calculations A-1'!F33</f>
        <v>220293.5206521739</v>
      </c>
      <c r="K31" s="25">
        <v>1.8</v>
      </c>
      <c r="L31" s="25">
        <v>9.8000001999999995</v>
      </c>
      <c r="M31" s="114">
        <f>'[4]Calculations A-1'!J33</f>
        <v>379676.24959239131</v>
      </c>
      <c r="N31" s="114">
        <f>'[4]Calculations A-1'!K33</f>
        <v>42929.119152173909</v>
      </c>
      <c r="O31" s="114">
        <f>'[4]Calculations A-1'!L33</f>
        <v>122669.9946521739</v>
      </c>
      <c r="P31" s="21">
        <v>1086</v>
      </c>
      <c r="Q31" s="114">
        <v>5446</v>
      </c>
      <c r="R31" s="26"/>
      <c r="S31" s="19"/>
    </row>
    <row r="32" spans="1:19">
      <c r="A32" s="13">
        <v>2004</v>
      </c>
      <c r="B32" s="244">
        <v>1613.4449999999999</v>
      </c>
      <c r="C32" s="244">
        <v>456.63200000000001</v>
      </c>
      <c r="D32" s="244">
        <v>1610.5</v>
      </c>
      <c r="E32" s="244">
        <v>345.3</v>
      </c>
      <c r="F32" s="22">
        <v>124.4</v>
      </c>
      <c r="G32" s="22">
        <v>2140</v>
      </c>
      <c r="H32" s="22">
        <v>1105</v>
      </c>
      <c r="I32" s="114">
        <f>'[4]Calculations A-1'!D34</f>
        <v>263163.14981471677</v>
      </c>
      <c r="J32" s="114">
        <f>'[4]Calculations A-1'!F34</f>
        <v>232440.93594494439</v>
      </c>
      <c r="K32" s="25">
        <v>1.7</v>
      </c>
      <c r="L32" s="25">
        <v>10.199999999999999</v>
      </c>
      <c r="M32" s="114">
        <f>'[4]Calculations A-1'!J34</f>
        <v>449588.63961355214</v>
      </c>
      <c r="N32" s="114">
        <f>'[4]Calculations A-1'!K34</f>
        <v>47564.655457914232</v>
      </c>
      <c r="O32" s="114">
        <f>'[4]Calculations A-1'!L34</f>
        <v>137415.22319216514</v>
      </c>
      <c r="P32" s="21">
        <v>1203</v>
      </c>
      <c r="Q32" s="114">
        <v>5958</v>
      </c>
      <c r="R32" s="26"/>
      <c r="S32" s="19"/>
    </row>
    <row r="33" spans="1:19">
      <c r="A33" s="13">
        <v>2005</v>
      </c>
      <c r="B33" s="244">
        <v>1681.9860000000001</v>
      </c>
      <c r="C33" s="244">
        <v>473.33</v>
      </c>
      <c r="D33" s="244">
        <v>1715.8</v>
      </c>
      <c r="E33" s="244">
        <v>352.5</v>
      </c>
      <c r="F33" s="22">
        <v>122.8</v>
      </c>
      <c r="G33" s="22">
        <v>2227</v>
      </c>
      <c r="H33" s="22">
        <v>1143</v>
      </c>
      <c r="I33" s="114">
        <f>'[4]Calculations A-1'!D35</f>
        <v>277459.31950844853</v>
      </c>
      <c r="J33" s="114">
        <f>'[4]Calculations A-1'!F35</f>
        <v>252235.74500768047</v>
      </c>
      <c r="K33" s="25">
        <v>1.9</v>
      </c>
      <c r="L33" s="25">
        <v>9.8000001999999995</v>
      </c>
      <c r="M33" s="114">
        <f>'[4]Calculations A-1'!J35</f>
        <v>499300.08136200713</v>
      </c>
      <c r="N33" s="114">
        <f>'[4]Calculations A-1'!K35</f>
        <v>54474.858591909877</v>
      </c>
      <c r="O33" s="114">
        <f>'[4]Calculations A-1'!L35</f>
        <v>150986.70449564772</v>
      </c>
      <c r="P33" s="21">
        <v>1283</v>
      </c>
      <c r="Q33" s="114">
        <v>6180</v>
      </c>
      <c r="R33" s="26"/>
      <c r="S33" s="19"/>
    </row>
    <row r="34" spans="1:19">
      <c r="A34" s="13">
        <v>2006</v>
      </c>
      <c r="B34" s="244">
        <v>1378.22</v>
      </c>
      <c r="C34" s="244">
        <v>460.68299999999999</v>
      </c>
      <c r="D34" s="244">
        <v>1465.4</v>
      </c>
      <c r="E34" s="244">
        <v>335.5</v>
      </c>
      <c r="F34" s="22">
        <v>112</v>
      </c>
      <c r="G34" s="22">
        <v>2259</v>
      </c>
      <c r="H34" s="22">
        <v>1192</v>
      </c>
      <c r="I34" s="114">
        <f>'[4]Calculations A-1'!D36</f>
        <v>275037.02132936509</v>
      </c>
      <c r="J34" s="114">
        <f>'[4]Calculations A-1'!F36</f>
        <v>247589.10763888891</v>
      </c>
      <c r="K34" s="25">
        <v>2.4000001000000002</v>
      </c>
      <c r="L34" s="25">
        <v>9.6999998000000005</v>
      </c>
      <c r="M34" s="114">
        <f>'[4]Calculations A-1'!J36</f>
        <v>464156.49396329367</v>
      </c>
      <c r="N34" s="114">
        <f>'[4]Calculations A-1'!K36</f>
        <v>58915.942544642858</v>
      </c>
      <c r="O34" s="114">
        <f>'[4]Calculations A-1'!L36</f>
        <v>161709.4950843254</v>
      </c>
      <c r="P34" s="21">
        <v>1051</v>
      </c>
      <c r="Q34" s="114">
        <v>5677</v>
      </c>
      <c r="R34" s="20"/>
      <c r="S34" s="19"/>
    </row>
    <row r="35" spans="1:19">
      <c r="A35" s="13">
        <v>2007</v>
      </c>
      <c r="B35" s="244">
        <v>979.88900000000001</v>
      </c>
      <c r="C35" s="244">
        <v>418.52600000000001</v>
      </c>
      <c r="D35" s="244">
        <v>1046</v>
      </c>
      <c r="E35" s="244">
        <v>309</v>
      </c>
      <c r="F35" s="22">
        <v>95</v>
      </c>
      <c r="G35" s="22">
        <v>2230</v>
      </c>
      <c r="H35" s="22">
        <v>1134</v>
      </c>
      <c r="I35" s="114">
        <f>'[4]Calculations A-1'!D37</f>
        <v>268939.13485931454</v>
      </c>
      <c r="J35" s="114">
        <f>'[4]Calculations A-1'!F37</f>
        <v>236393.05157662218</v>
      </c>
      <c r="K35" s="25">
        <v>2.7250000000000001</v>
      </c>
      <c r="L35" s="25">
        <v>9.6999999999999993</v>
      </c>
      <c r="M35" s="114">
        <f>'[4]Calculations A-1'!J37</f>
        <v>331084.79601817281</v>
      </c>
      <c r="N35" s="114">
        <f>'[4]Calculations A-1'!K37</f>
        <v>53114.123047911176</v>
      </c>
      <c r="O35" s="114">
        <f>'[4]Calculations A-1'!L37</f>
        <v>150908.59409574518</v>
      </c>
      <c r="P35" s="22">
        <v>776</v>
      </c>
      <c r="Q35" s="114">
        <v>4420</v>
      </c>
      <c r="R35" s="20"/>
      <c r="S35" s="19"/>
    </row>
    <row r="36" spans="1:19">
      <c r="A36" s="13">
        <v>2008</v>
      </c>
      <c r="B36" s="244">
        <v>575.55399999999997</v>
      </c>
      <c r="C36" s="244">
        <v>329.80499999999995</v>
      </c>
      <c r="D36" s="244">
        <v>622</v>
      </c>
      <c r="E36" s="244">
        <v>283.5</v>
      </c>
      <c r="F36" s="22">
        <v>80.5</v>
      </c>
      <c r="G36" s="22">
        <v>2174</v>
      </c>
      <c r="H36" s="22">
        <v>1089</v>
      </c>
      <c r="I36" s="114">
        <f>'[4]Calculations A-1'!D38</f>
        <v>242487.75864711593</v>
      </c>
      <c r="J36" s="114">
        <f>'[4]Calculations A-1'!F38</f>
        <v>205398.93731160273</v>
      </c>
      <c r="K36" s="25">
        <v>2.8</v>
      </c>
      <c r="L36" s="25">
        <v>10</v>
      </c>
      <c r="M36" s="114">
        <f>'[4]Calculations A-1'!J38</f>
        <v>194090.50344862821</v>
      </c>
      <c r="N36" s="114">
        <f>'[4]Calculations A-1'!K38</f>
        <v>46322.370714760124</v>
      </c>
      <c r="O36" s="114">
        <f>'[4]Calculations A-1'!L38</f>
        <v>125521.10846574361</v>
      </c>
      <c r="P36" s="22">
        <v>485</v>
      </c>
      <c r="Q36" s="114">
        <v>3660</v>
      </c>
      <c r="R36" s="20"/>
      <c r="S36" s="19"/>
    </row>
    <row r="37" spans="1:19">
      <c r="A37" s="13">
        <v>2009</v>
      </c>
      <c r="B37" s="244">
        <v>441.14800000000002</v>
      </c>
      <c r="C37" s="244">
        <v>141.815</v>
      </c>
      <c r="D37" s="244">
        <v>445.1</v>
      </c>
      <c r="E37" s="244">
        <v>108.89999999999999</v>
      </c>
      <c r="F37" s="22">
        <v>55</v>
      </c>
      <c r="G37" s="22">
        <v>2103</v>
      </c>
      <c r="H37" s="22">
        <v>1124</v>
      </c>
      <c r="I37" s="114">
        <f>'[4]Calculations A-1'!D39</f>
        <v>227206.87480481219</v>
      </c>
      <c r="J37" s="114">
        <f>'[4]Calculations A-1'!F39</f>
        <v>180444.40772454167</v>
      </c>
      <c r="K37" s="25">
        <v>2.6</v>
      </c>
      <c r="L37" s="25">
        <v>10.6</v>
      </c>
      <c r="M37" s="114">
        <f>'[4]Calculations A-1'!J39</f>
        <v>110443.30117415644</v>
      </c>
      <c r="N37" s="114">
        <f>'[4]Calculations A-1'!K39</f>
        <v>29921.688016519296</v>
      </c>
      <c r="O37" s="114">
        <f>'[4]Calculations A-1'!L39</f>
        <v>117470.25306590472</v>
      </c>
      <c r="P37" s="22">
        <v>375</v>
      </c>
      <c r="Q37" s="114">
        <v>3870</v>
      </c>
      <c r="R37" s="20"/>
      <c r="S37" s="19"/>
    </row>
    <row r="38" spans="1:19">
      <c r="A38" s="13">
        <v>2010</v>
      </c>
      <c r="B38" s="244">
        <v>447.31099999999998</v>
      </c>
      <c r="C38" s="244">
        <v>157.29900000000001</v>
      </c>
      <c r="D38" s="244">
        <v>471.2</v>
      </c>
      <c r="E38" s="244">
        <v>115.7</v>
      </c>
      <c r="F38" s="22">
        <v>51</v>
      </c>
      <c r="G38" s="22">
        <v>2152</v>
      </c>
      <c r="H38" s="22">
        <v>1137</v>
      </c>
      <c r="I38" s="114">
        <f>'[4]Calculations A-1'!D40</f>
        <v>228801.180430715</v>
      </c>
      <c r="J38" s="114">
        <f>'[4]Calculations A-1'!F40</f>
        <v>178563.95100341196</v>
      </c>
      <c r="K38" s="25">
        <v>2.6</v>
      </c>
      <c r="L38" s="25">
        <v>10.199999999999999</v>
      </c>
      <c r="M38" s="114">
        <f>'[4]Calculations A-1'!J40</f>
        <v>116122.27267766076</v>
      </c>
      <c r="N38" s="114">
        <f>'[4]Calculations A-1'!K40</f>
        <v>15130.999614777853</v>
      </c>
      <c r="O38" s="114">
        <f>'[4]Calculations A-1'!L40</f>
        <v>115085.5495652493</v>
      </c>
      <c r="P38" s="22">
        <v>323</v>
      </c>
      <c r="Q38" s="114">
        <v>3708</v>
      </c>
      <c r="R38" s="20"/>
      <c r="S38" s="19"/>
    </row>
    <row r="39" spans="1:19">
      <c r="A39" s="13">
        <v>2011</v>
      </c>
      <c r="B39" s="244">
        <v>413.58499999999998</v>
      </c>
      <c r="C39" s="244">
        <v>205.56299999999999</v>
      </c>
      <c r="D39" s="244">
        <v>430.6</v>
      </c>
      <c r="E39" s="244">
        <v>178.20000000000002</v>
      </c>
      <c r="F39" s="22">
        <v>47</v>
      </c>
      <c r="G39" s="22">
        <v>2267</v>
      </c>
      <c r="H39" s="22">
        <v>1101</v>
      </c>
      <c r="I39" s="114">
        <f>'[4]Calculations A-1'!D41</f>
        <v>227200</v>
      </c>
      <c r="J39" s="114">
        <f>'[4]Calculations A-1'!F41</f>
        <v>166200</v>
      </c>
      <c r="K39" s="25">
        <v>2.5</v>
      </c>
      <c r="L39" s="25">
        <v>9.5</v>
      </c>
      <c r="M39" s="114">
        <f>'[4]Calculations A-1'!J41</f>
        <v>106742</v>
      </c>
      <c r="N39" s="114">
        <f>'[4]Calculations A-1'!K41</f>
        <v>14753</v>
      </c>
      <c r="O39" s="114">
        <f>'[4]Calculations A-1'!L41</f>
        <v>115769.99999999999</v>
      </c>
      <c r="P39" s="21">
        <v>306</v>
      </c>
      <c r="Q39" s="114">
        <v>3787</v>
      </c>
      <c r="R39" s="20"/>
      <c r="S39" s="19"/>
    </row>
    <row r="40" spans="1:19">
      <c r="A40" s="13"/>
      <c r="B40" s="22"/>
      <c r="C40" s="22"/>
      <c r="D40" s="22"/>
      <c r="E40" s="22"/>
      <c r="F40" s="22"/>
      <c r="G40" s="22"/>
      <c r="H40" s="22"/>
      <c r="I40" s="24"/>
      <c r="J40" s="24"/>
      <c r="K40" s="25"/>
      <c r="L40" s="25"/>
      <c r="M40" s="24"/>
      <c r="N40" s="24"/>
      <c r="O40" s="23"/>
      <c r="P40" s="21"/>
      <c r="Q40" s="21"/>
      <c r="R40" s="15"/>
      <c r="S40" s="12"/>
    </row>
    <row r="41" spans="1:19" s="143" customFormat="1">
      <c r="A41" s="14" t="s">
        <v>361</v>
      </c>
      <c r="B41" s="22"/>
      <c r="C41" s="22"/>
      <c r="D41" s="22"/>
      <c r="E41" s="22"/>
      <c r="F41" s="22"/>
      <c r="G41" s="22"/>
      <c r="H41" s="22"/>
      <c r="I41" s="24"/>
      <c r="J41" s="24"/>
      <c r="K41" s="25"/>
      <c r="L41" s="25"/>
      <c r="M41" s="24"/>
      <c r="N41" s="24"/>
      <c r="O41" s="23"/>
      <c r="P41" s="21"/>
      <c r="Q41" s="21"/>
      <c r="R41" s="142"/>
      <c r="S41" s="142"/>
    </row>
    <row r="42" spans="1:19" s="143" customFormat="1">
      <c r="A42" s="14" t="s">
        <v>0</v>
      </c>
      <c r="B42" s="250" t="s">
        <v>362</v>
      </c>
      <c r="C42" s="144"/>
      <c r="D42" s="144"/>
      <c r="E42" s="144"/>
      <c r="F42" s="144"/>
      <c r="G42" s="144"/>
      <c r="H42" s="144"/>
      <c r="I42" s="144"/>
      <c r="J42" s="144"/>
      <c r="K42" s="144"/>
      <c r="L42" s="144"/>
      <c r="M42" s="144"/>
      <c r="N42" s="144"/>
      <c r="O42" s="144"/>
      <c r="P42" s="144"/>
      <c r="Q42" s="144"/>
      <c r="R42" s="142"/>
      <c r="S42" s="142"/>
    </row>
    <row r="43" spans="1:19" s="143" customFormat="1" ht="25.5" customHeight="1">
      <c r="A43" s="5"/>
      <c r="B43" s="259" t="s">
        <v>363</v>
      </c>
      <c r="C43" s="259"/>
      <c r="D43" s="259"/>
      <c r="E43" s="259"/>
      <c r="F43" s="259"/>
      <c r="G43" s="259"/>
      <c r="H43" s="259"/>
      <c r="I43" s="259"/>
      <c r="J43" s="259"/>
      <c r="K43" s="259"/>
      <c r="L43" s="259"/>
      <c r="M43" s="259"/>
      <c r="N43" s="259"/>
      <c r="O43" s="259"/>
      <c r="P43" s="259"/>
      <c r="Q43" s="259"/>
      <c r="R43" s="142"/>
      <c r="S43" s="142"/>
    </row>
    <row r="44" spans="1:19" s="143" customFormat="1" ht="12.75" customHeight="1">
      <c r="A44" s="5"/>
      <c r="B44" s="11" t="s">
        <v>364</v>
      </c>
      <c r="C44" s="11"/>
      <c r="D44" s="11"/>
      <c r="E44" s="11"/>
      <c r="F44" s="11"/>
      <c r="G44" s="11"/>
      <c r="H44" s="11"/>
      <c r="I44" s="11"/>
      <c r="J44" s="11"/>
      <c r="K44" s="11"/>
      <c r="L44" s="11"/>
      <c r="M44" s="145"/>
      <c r="N44" s="145"/>
      <c r="O44" s="145"/>
      <c r="P44" s="145"/>
      <c r="Q44" s="145"/>
      <c r="R44" s="142"/>
      <c r="S44" s="142"/>
    </row>
    <row r="45" spans="1:19" s="143" customFormat="1" ht="24" customHeight="1">
      <c r="A45" s="5"/>
      <c r="B45" s="259" t="s">
        <v>365</v>
      </c>
      <c r="C45" s="259"/>
      <c r="D45" s="259"/>
      <c r="E45" s="259"/>
      <c r="F45" s="259"/>
      <c r="G45" s="259"/>
      <c r="H45" s="259"/>
      <c r="I45" s="259"/>
      <c r="J45" s="259"/>
      <c r="K45" s="259"/>
      <c r="L45" s="259"/>
      <c r="M45" s="259"/>
      <c r="N45" s="259"/>
      <c r="O45" s="259"/>
      <c r="P45" s="259"/>
      <c r="Q45" s="259"/>
      <c r="R45" s="142"/>
      <c r="S45" s="142"/>
    </row>
    <row r="46" spans="1:19" s="143" customFormat="1" ht="28.5" customHeight="1">
      <c r="A46" s="5"/>
      <c r="B46" s="259" t="s">
        <v>366</v>
      </c>
      <c r="C46" s="259"/>
      <c r="D46" s="259"/>
      <c r="E46" s="259"/>
      <c r="F46" s="259"/>
      <c r="G46" s="259"/>
      <c r="H46" s="259"/>
      <c r="I46" s="259"/>
      <c r="J46" s="259"/>
      <c r="K46" s="259"/>
      <c r="L46" s="259"/>
      <c r="M46" s="259"/>
      <c r="N46" s="259"/>
      <c r="O46" s="259"/>
      <c r="P46" s="259"/>
      <c r="Q46" s="259"/>
      <c r="R46" s="142"/>
      <c r="S46" s="142"/>
    </row>
    <row r="47" spans="1:19" s="143" customFormat="1">
      <c r="A47" s="5"/>
      <c r="B47" s="260" t="s">
        <v>367</v>
      </c>
      <c r="C47" s="260"/>
      <c r="D47" s="260"/>
      <c r="E47" s="260"/>
      <c r="F47" s="260"/>
      <c r="G47" s="260"/>
      <c r="H47" s="260"/>
      <c r="I47" s="260"/>
      <c r="J47" s="260"/>
      <c r="K47" s="260"/>
      <c r="L47" s="260"/>
      <c r="M47" s="260"/>
      <c r="N47" s="260"/>
      <c r="O47" s="260"/>
      <c r="P47" s="260"/>
      <c r="Q47" s="260"/>
      <c r="R47" s="142"/>
      <c r="S47" s="142"/>
    </row>
    <row r="48" spans="1:19" s="143" customFormat="1" ht="25.5" customHeight="1">
      <c r="A48" s="5"/>
      <c r="B48" s="259" t="s">
        <v>368</v>
      </c>
      <c r="C48" s="259"/>
      <c r="D48" s="259"/>
      <c r="E48" s="259"/>
      <c r="F48" s="259"/>
      <c r="G48" s="259"/>
      <c r="H48" s="259"/>
      <c r="I48" s="259"/>
      <c r="J48" s="259"/>
      <c r="K48" s="259"/>
      <c r="L48" s="259"/>
      <c r="M48" s="259"/>
      <c r="N48" s="259"/>
      <c r="O48" s="259"/>
      <c r="P48" s="259"/>
      <c r="Q48" s="259"/>
      <c r="R48" s="142"/>
      <c r="S48" s="142"/>
    </row>
    <row r="49" spans="1:19" s="143" customFormat="1" ht="12.75" customHeight="1">
      <c r="A49" s="5"/>
      <c r="B49" s="11" t="s">
        <v>369</v>
      </c>
      <c r="C49" s="11"/>
      <c r="D49" s="11"/>
      <c r="E49" s="11"/>
      <c r="F49" s="11"/>
      <c r="G49" s="11"/>
      <c r="H49" s="11"/>
      <c r="I49" s="11"/>
      <c r="J49" s="11"/>
      <c r="K49" s="11"/>
      <c r="L49" s="11"/>
      <c r="M49" s="145"/>
      <c r="N49" s="145"/>
      <c r="O49" s="145"/>
      <c r="P49" s="145"/>
      <c r="Q49" s="145"/>
      <c r="R49" s="142"/>
      <c r="S49" s="142"/>
    </row>
    <row r="50" spans="1:19" s="143" customFormat="1" ht="12.75" customHeight="1">
      <c r="A50" s="5"/>
      <c r="B50" s="11" t="s">
        <v>370</v>
      </c>
      <c r="C50" s="11"/>
      <c r="D50" s="11"/>
      <c r="E50" s="11"/>
      <c r="F50" s="11"/>
      <c r="G50" s="11"/>
      <c r="H50" s="11"/>
      <c r="I50" s="11"/>
      <c r="J50" s="11"/>
      <c r="K50" s="11"/>
      <c r="L50" s="11"/>
      <c r="M50" s="145"/>
      <c r="N50" s="145"/>
      <c r="O50" s="145"/>
      <c r="P50" s="145"/>
      <c r="Q50" s="145"/>
      <c r="R50" s="142"/>
      <c r="S50" s="142"/>
    </row>
    <row r="51" spans="1:19">
      <c r="B51" s="11"/>
      <c r="C51" s="11"/>
      <c r="D51" s="11"/>
      <c r="E51" s="11"/>
      <c r="F51" s="11"/>
      <c r="G51" s="11"/>
      <c r="H51" s="11"/>
      <c r="I51" s="11"/>
      <c r="J51" s="11"/>
      <c r="K51" s="11"/>
      <c r="L51" s="11"/>
      <c r="M51" s="145"/>
      <c r="N51" s="145"/>
      <c r="O51" s="145"/>
      <c r="P51" s="145"/>
      <c r="Q51" s="145"/>
      <c r="R51" s="12"/>
      <c r="S51" s="12"/>
    </row>
    <row r="52" spans="1:19">
      <c r="A52" s="13"/>
      <c r="B52" s="11"/>
      <c r="C52" s="11"/>
      <c r="D52" s="11"/>
      <c r="E52" s="11"/>
      <c r="F52" s="11"/>
      <c r="G52" s="11"/>
      <c r="H52" s="11"/>
      <c r="I52" s="11"/>
      <c r="J52" s="11"/>
      <c r="K52" s="11"/>
      <c r="L52" s="11"/>
      <c r="M52" s="145"/>
      <c r="N52" s="145"/>
      <c r="O52" s="145"/>
      <c r="P52" s="145"/>
      <c r="Q52" s="145"/>
      <c r="R52" s="12"/>
      <c r="S52" s="12"/>
    </row>
    <row r="53" spans="1:19">
      <c r="B53" s="11"/>
      <c r="C53" s="11"/>
      <c r="D53" s="11"/>
      <c r="E53" s="11"/>
      <c r="F53" s="11"/>
      <c r="G53" s="11"/>
      <c r="H53" s="11"/>
      <c r="I53" s="11"/>
      <c r="J53" s="11"/>
      <c r="K53" s="11"/>
      <c r="L53" s="11"/>
      <c r="M53" s="145"/>
      <c r="N53" s="145"/>
      <c r="O53" s="145"/>
      <c r="P53" s="145"/>
      <c r="Q53" s="145"/>
    </row>
    <row r="54" spans="1:19">
      <c r="B54" s="11"/>
      <c r="C54" s="11"/>
      <c r="D54" s="11"/>
      <c r="E54" s="11"/>
      <c r="F54" s="11"/>
      <c r="G54" s="11"/>
      <c r="H54" s="11"/>
      <c r="I54" s="11"/>
      <c r="J54" s="11"/>
      <c r="K54" s="11"/>
      <c r="L54" s="11"/>
      <c r="M54" s="145"/>
      <c r="N54" s="145"/>
      <c r="O54" s="145"/>
      <c r="P54" s="145"/>
      <c r="Q54" s="145"/>
    </row>
    <row r="55" spans="1:19" ht="25.5" customHeight="1">
      <c r="B55" s="7"/>
      <c r="C55" s="7"/>
      <c r="D55" s="7"/>
      <c r="E55" s="7"/>
      <c r="F55" s="7"/>
      <c r="G55" s="7"/>
      <c r="H55" s="7"/>
      <c r="I55" s="7"/>
      <c r="J55" s="7"/>
      <c r="K55" s="9"/>
      <c r="L55" s="9"/>
      <c r="M55" s="8"/>
      <c r="N55" s="8"/>
      <c r="O55" s="8"/>
      <c r="P55" s="7"/>
      <c r="Q55" s="7"/>
    </row>
    <row r="56" spans="1:19" ht="15">
      <c r="B56" s="7"/>
      <c r="C56" s="7"/>
      <c r="D56" s="10"/>
      <c r="E56" s="7"/>
      <c r="F56" s="7"/>
      <c r="G56" s="7"/>
      <c r="H56" s="7"/>
      <c r="I56" s="7"/>
      <c r="J56" s="7"/>
      <c r="K56" s="9"/>
      <c r="L56" s="9"/>
      <c r="M56" s="8"/>
      <c r="N56" s="8"/>
      <c r="O56" s="8"/>
      <c r="P56" s="7"/>
      <c r="Q56" s="7"/>
    </row>
    <row r="57" spans="1:19" ht="15">
      <c r="B57" s="7"/>
      <c r="C57" s="7"/>
      <c r="D57" s="10"/>
      <c r="E57" s="7"/>
      <c r="F57" s="7"/>
      <c r="G57" s="7"/>
      <c r="H57" s="7"/>
      <c r="I57" s="7"/>
      <c r="J57" s="7"/>
      <c r="K57" s="9"/>
      <c r="L57" s="9"/>
      <c r="M57" s="8"/>
      <c r="N57" s="8"/>
      <c r="O57" s="8"/>
      <c r="P57" s="7"/>
      <c r="Q57" s="7"/>
    </row>
    <row r="58" spans="1:19" ht="15">
      <c r="B58" s="7"/>
      <c r="C58" s="7"/>
      <c r="D58" s="10"/>
      <c r="E58" s="7"/>
      <c r="F58" s="7"/>
      <c r="G58" s="7"/>
      <c r="H58" s="7"/>
      <c r="I58" s="7"/>
      <c r="J58" s="7"/>
      <c r="K58" s="9"/>
      <c r="L58" s="9"/>
      <c r="M58" s="8"/>
      <c r="N58" s="8"/>
      <c r="O58" s="8"/>
      <c r="P58" s="7"/>
      <c r="Q58" s="7"/>
    </row>
    <row r="59" spans="1:19" ht="15">
      <c r="B59" s="7"/>
      <c r="C59" s="7"/>
      <c r="D59" s="10"/>
      <c r="E59" s="7"/>
      <c r="F59" s="7"/>
      <c r="G59" s="7"/>
      <c r="H59" s="7"/>
      <c r="I59" s="7"/>
      <c r="J59" s="7"/>
      <c r="K59" s="9"/>
      <c r="L59" s="9"/>
      <c r="M59" s="8"/>
      <c r="N59" s="8"/>
      <c r="O59" s="8"/>
      <c r="P59" s="7"/>
      <c r="Q59" s="7"/>
    </row>
    <row r="60" spans="1:19" ht="15">
      <c r="B60" s="7"/>
      <c r="C60" s="7"/>
      <c r="D60" s="10"/>
      <c r="E60" s="7"/>
      <c r="F60" s="7"/>
      <c r="G60" s="7"/>
      <c r="H60" s="7"/>
      <c r="I60" s="7"/>
      <c r="J60" s="7"/>
      <c r="K60" s="9"/>
      <c r="L60" s="9"/>
      <c r="M60" s="8"/>
      <c r="N60" s="8"/>
      <c r="O60" s="8"/>
      <c r="P60" s="7"/>
      <c r="Q60" s="7"/>
    </row>
    <row r="61" spans="1:19" ht="15">
      <c r="D61" s="6"/>
    </row>
    <row r="62" spans="1:19" ht="15">
      <c r="D62" s="6"/>
    </row>
    <row r="63" spans="1:19" ht="15">
      <c r="D63" s="6"/>
    </row>
    <row r="64" spans="1:19" ht="15">
      <c r="B64" s="2"/>
      <c r="C64" s="2"/>
      <c r="D64" s="6"/>
      <c r="E64" s="2"/>
      <c r="F64" s="2"/>
      <c r="G64" s="2"/>
      <c r="H64" s="2"/>
      <c r="I64" s="2"/>
      <c r="J64" s="2"/>
      <c r="M64" s="2"/>
      <c r="N64" s="2"/>
      <c r="O64" s="2"/>
      <c r="P64" s="2"/>
      <c r="Q64" s="2"/>
    </row>
    <row r="65" spans="4:4" s="2" customFormat="1" ht="15">
      <c r="D65" s="6"/>
    </row>
    <row r="66" spans="4:4" s="2" customFormat="1" ht="15">
      <c r="D66" s="6"/>
    </row>
    <row r="67" spans="4:4" s="2" customFormat="1" ht="15">
      <c r="D67" s="6"/>
    </row>
    <row r="68" spans="4:4" s="2" customFormat="1" ht="15">
      <c r="D68" s="6"/>
    </row>
    <row r="69" spans="4:4" s="2" customFormat="1" ht="15">
      <c r="D69" s="6"/>
    </row>
    <row r="70" spans="4:4" s="2" customFormat="1" ht="15">
      <c r="D70" s="6"/>
    </row>
    <row r="71" spans="4:4" s="2" customFormat="1" ht="15">
      <c r="D71" s="6"/>
    </row>
    <row r="72" spans="4:4" s="2" customFormat="1" ht="15">
      <c r="D72" s="6"/>
    </row>
    <row r="73" spans="4:4" s="2" customFormat="1" ht="15">
      <c r="D73" s="6"/>
    </row>
    <row r="74" spans="4:4" s="2" customFormat="1" ht="15">
      <c r="D74" s="6"/>
    </row>
    <row r="75" spans="4:4" s="2" customFormat="1" ht="15">
      <c r="D75" s="6"/>
    </row>
    <row r="76" spans="4:4" s="2" customFormat="1" ht="15">
      <c r="D76" s="6"/>
    </row>
    <row r="77" spans="4:4" s="2" customFormat="1" ht="15">
      <c r="D77" s="6"/>
    </row>
    <row r="78" spans="4:4" s="2" customFormat="1" ht="15">
      <c r="D78" s="6"/>
    </row>
    <row r="79" spans="4:4" s="2" customFormat="1" ht="15">
      <c r="D79" s="6"/>
    </row>
    <row r="80" spans="4:4" s="2" customFormat="1" ht="15">
      <c r="D80" s="6"/>
    </row>
    <row r="81" spans="2:17" s="2" customFormat="1" ht="15">
      <c r="D81" s="6"/>
    </row>
    <row r="82" spans="2:17" s="2" customFormat="1" ht="15">
      <c r="D82" s="6"/>
    </row>
    <row r="83" spans="2:17" s="2" customFormat="1" ht="15">
      <c r="D83" s="6"/>
    </row>
    <row r="84" spans="2:17" s="2" customFormat="1" ht="15">
      <c r="D84" s="6"/>
    </row>
    <row r="85" spans="2:17" s="2" customFormat="1" ht="15">
      <c r="D85" s="6"/>
    </row>
    <row r="86" spans="2:17" s="2" customFormat="1" ht="15">
      <c r="D86" s="6"/>
    </row>
    <row r="87" spans="2:17" s="2" customFormat="1" ht="15">
      <c r="D87" s="6"/>
    </row>
    <row r="88" spans="2:17" s="2" customFormat="1" ht="15">
      <c r="D88" s="6"/>
    </row>
    <row r="89" spans="2:17" s="2" customFormat="1">
      <c r="B89" s="3"/>
      <c r="C89" s="3"/>
      <c r="D89" s="3"/>
      <c r="E89" s="3"/>
      <c r="F89" s="3"/>
      <c r="G89" s="3"/>
      <c r="H89" s="3"/>
      <c r="I89" s="3"/>
      <c r="J89" s="3"/>
      <c r="M89" s="4"/>
      <c r="N89" s="4"/>
      <c r="O89" s="4"/>
      <c r="P89" s="3"/>
      <c r="Q89" s="3"/>
    </row>
  </sheetData>
  <mergeCells count="19">
    <mergeCell ref="B43:Q43"/>
    <mergeCell ref="B45:Q45"/>
    <mergeCell ref="B46:Q46"/>
    <mergeCell ref="B47:Q47"/>
    <mergeCell ref="B48:Q48"/>
    <mergeCell ref="P5:Q5"/>
    <mergeCell ref="B6:C6"/>
    <mergeCell ref="D6:F6"/>
    <mergeCell ref="G6:H6"/>
    <mergeCell ref="I6:J6"/>
    <mergeCell ref="K6:L6"/>
    <mergeCell ref="M6:O6"/>
    <mergeCell ref="P6:Q6"/>
    <mergeCell ref="B5:C5"/>
    <mergeCell ref="D5:F5"/>
    <mergeCell ref="G5:H5"/>
    <mergeCell ref="I5:J5"/>
    <mergeCell ref="K5:L5"/>
    <mergeCell ref="M5:O5"/>
  </mergeCells>
  <pageMargins left="0.7" right="0.7" top="0.75" bottom="0.75" header="0.3" footer="0.3"/>
  <pageSetup scale="4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U56"/>
  <sheetViews>
    <sheetView zoomScale="125" workbookViewId="0"/>
  </sheetViews>
  <sheetFormatPr defaultColWidth="8.85546875" defaultRowHeight="12.75"/>
  <cols>
    <col min="1" max="1" width="17.7109375" style="146" customWidth="1"/>
    <col min="2" max="2" width="7.42578125" style="146" bestFit="1" customWidth="1"/>
    <col min="3" max="19" width="6.7109375" style="146" customWidth="1"/>
    <col min="20" max="16384" width="8.85546875" style="146"/>
  </cols>
  <sheetData>
    <row r="1" spans="1:19">
      <c r="A1" s="237" t="s">
        <v>469</v>
      </c>
      <c r="B1" s="237"/>
    </row>
    <row r="2" spans="1:19">
      <c r="A2" s="146" t="s">
        <v>59</v>
      </c>
    </row>
    <row r="5" spans="1:19">
      <c r="A5" s="117"/>
      <c r="B5" s="117">
        <v>1994</v>
      </c>
      <c r="C5" s="46">
        <v>1995</v>
      </c>
      <c r="D5" s="46">
        <v>1996</v>
      </c>
      <c r="E5" s="46">
        <v>1997</v>
      </c>
      <c r="F5" s="46">
        <v>1998</v>
      </c>
      <c r="G5" s="46">
        <v>1999</v>
      </c>
      <c r="H5" s="46">
        <v>2000</v>
      </c>
      <c r="I5" s="46">
        <v>2001</v>
      </c>
      <c r="J5" s="46">
        <v>2002</v>
      </c>
      <c r="K5" s="46">
        <v>2003</v>
      </c>
      <c r="L5" s="46">
        <v>2004</v>
      </c>
      <c r="M5" s="46">
        <v>2005</v>
      </c>
      <c r="N5" s="46">
        <v>2006</v>
      </c>
      <c r="O5" s="46">
        <v>2007</v>
      </c>
      <c r="P5" s="46">
        <v>2008</v>
      </c>
      <c r="Q5" s="46">
        <v>2009</v>
      </c>
      <c r="R5" s="46">
        <v>2010</v>
      </c>
      <c r="S5" s="46">
        <v>2011</v>
      </c>
    </row>
    <row r="6" spans="1:19" ht="15">
      <c r="A6" s="117"/>
      <c r="B6" s="117"/>
      <c r="C6" s="43"/>
      <c r="D6" s="43"/>
      <c r="E6" s="43"/>
      <c r="F6" s="43"/>
      <c r="G6" s="43"/>
      <c r="H6" s="43"/>
      <c r="I6" s="45"/>
      <c r="J6" s="45"/>
      <c r="K6" s="43"/>
      <c r="L6" s="43"/>
      <c r="M6" s="43"/>
      <c r="N6" s="43"/>
      <c r="O6" s="43"/>
      <c r="P6" s="43"/>
      <c r="Q6" s="44"/>
    </row>
    <row r="7" spans="1:19" s="148" customFormat="1">
      <c r="A7" s="143" t="s">
        <v>58</v>
      </c>
      <c r="B7" s="41">
        <v>64</v>
      </c>
      <c r="C7" s="41">
        <v>64.747064589042466</v>
      </c>
      <c r="D7" s="41">
        <v>65.399126585662941</v>
      </c>
      <c r="E7" s="41">
        <v>65.696030371522781</v>
      </c>
      <c r="F7" s="41">
        <v>66.294804555069391</v>
      </c>
      <c r="G7" s="41">
        <v>66.805173021757568</v>
      </c>
      <c r="H7" s="41">
        <v>67.394697263500419</v>
      </c>
      <c r="I7" s="41">
        <v>67.839153716042574</v>
      </c>
      <c r="J7" s="41">
        <v>67.90579806794581</v>
      </c>
      <c r="K7" s="41">
        <v>68.258810155361886</v>
      </c>
      <c r="L7" s="41">
        <v>69.027179674819621</v>
      </c>
      <c r="M7" s="41">
        <v>68.883221997394458</v>
      </c>
      <c r="N7" s="41">
        <v>68.792436299919686</v>
      </c>
      <c r="O7" s="41">
        <v>68.136819393324018</v>
      </c>
      <c r="P7" s="41">
        <v>67.827681865762514</v>
      </c>
      <c r="Q7" s="41">
        <v>67.371389567466593</v>
      </c>
      <c r="R7" s="147">
        <v>66.900000000000006</v>
      </c>
      <c r="S7" s="147">
        <v>66.099999999999994</v>
      </c>
    </row>
    <row r="8" spans="1:19" s="148" customFormat="1">
      <c r="A8" s="143"/>
      <c r="B8" s="41"/>
      <c r="C8" s="41"/>
      <c r="D8" s="41"/>
      <c r="E8" s="41"/>
      <c r="F8" s="41"/>
      <c r="G8" s="41"/>
      <c r="H8" s="41"/>
      <c r="I8" s="41"/>
      <c r="J8" s="41"/>
      <c r="K8" s="41"/>
      <c r="L8" s="41"/>
      <c r="M8" s="41"/>
      <c r="N8" s="41"/>
      <c r="O8" s="41"/>
      <c r="P8" s="41"/>
      <c r="Q8" s="41"/>
    </row>
    <row r="9" spans="1:19" s="148" customFormat="1">
      <c r="A9" s="143" t="s">
        <v>57</v>
      </c>
      <c r="B9" s="41"/>
      <c r="C9" s="41"/>
      <c r="D9" s="41"/>
      <c r="E9" s="41"/>
      <c r="F9" s="41"/>
      <c r="G9" s="41"/>
      <c r="H9" s="41"/>
      <c r="I9" s="41"/>
      <c r="J9" s="41"/>
      <c r="K9" s="41"/>
      <c r="L9" s="41"/>
      <c r="M9" s="41"/>
      <c r="N9" s="41"/>
      <c r="O9" s="41"/>
      <c r="P9" s="41"/>
      <c r="Q9" s="41"/>
    </row>
    <row r="10" spans="1:19" s="148" customFormat="1">
      <c r="A10" s="153" t="s">
        <v>56</v>
      </c>
      <c r="B10" s="118">
        <v>37.299999999999997</v>
      </c>
      <c r="C10" s="118">
        <v>38.6</v>
      </c>
      <c r="D10" s="118">
        <v>39.1</v>
      </c>
      <c r="E10" s="118">
        <v>38.700000000000003</v>
      </c>
      <c r="F10" s="118">
        <v>39.299999999999997</v>
      </c>
      <c r="G10" s="118">
        <v>39.700000000000003</v>
      </c>
      <c r="H10" s="118">
        <v>40.799999999999997</v>
      </c>
      <c r="I10" s="118">
        <v>41.2</v>
      </c>
      <c r="J10" s="118">
        <v>41.3</v>
      </c>
      <c r="K10" s="118">
        <v>42.2</v>
      </c>
      <c r="L10" s="118">
        <v>43.1</v>
      </c>
      <c r="M10" s="149">
        <v>43</v>
      </c>
      <c r="N10" s="150">
        <v>42.6</v>
      </c>
      <c r="O10" s="151">
        <v>41.7</v>
      </c>
      <c r="P10" s="147">
        <v>41</v>
      </c>
      <c r="Q10" s="147">
        <v>39.700000000000003</v>
      </c>
      <c r="R10" s="118">
        <v>39.1</v>
      </c>
      <c r="S10" s="118">
        <v>37.700000000000003</v>
      </c>
    </row>
    <row r="11" spans="1:19" s="148" customFormat="1">
      <c r="A11" s="153" t="s">
        <v>383</v>
      </c>
      <c r="B11" s="118">
        <v>64.5</v>
      </c>
      <c r="C11" s="118">
        <v>65.2</v>
      </c>
      <c r="D11" s="118">
        <v>65.5</v>
      </c>
      <c r="E11" s="118">
        <v>66.099999999999994</v>
      </c>
      <c r="F11" s="118">
        <v>66.900000000000006</v>
      </c>
      <c r="G11" s="118">
        <v>67.2</v>
      </c>
      <c r="H11" s="118">
        <v>67.900000000000006</v>
      </c>
      <c r="I11" s="118">
        <v>68.2</v>
      </c>
      <c r="J11" s="118">
        <v>68.599999999999994</v>
      </c>
      <c r="K11" s="118">
        <v>68.3</v>
      </c>
      <c r="L11" s="118">
        <v>69.2</v>
      </c>
      <c r="M11" s="149">
        <v>69.3</v>
      </c>
      <c r="N11" s="150">
        <v>68.900000000000006</v>
      </c>
      <c r="O11" s="151">
        <v>67.8</v>
      </c>
      <c r="P11" s="149">
        <v>67</v>
      </c>
      <c r="Q11" s="147">
        <v>66.2</v>
      </c>
      <c r="R11" s="118">
        <v>65</v>
      </c>
      <c r="S11" s="118">
        <v>63.5</v>
      </c>
    </row>
    <row r="12" spans="1:19" s="148" customFormat="1">
      <c r="A12" s="153" t="s">
        <v>384</v>
      </c>
      <c r="B12" s="118">
        <v>75.2</v>
      </c>
      <c r="C12" s="118">
        <v>75.2</v>
      </c>
      <c r="D12" s="118">
        <v>75.599999999999994</v>
      </c>
      <c r="E12" s="118">
        <v>75.8</v>
      </c>
      <c r="F12" s="118">
        <v>75.7</v>
      </c>
      <c r="G12" s="118">
        <v>76</v>
      </c>
      <c r="H12" s="118">
        <v>76.5</v>
      </c>
      <c r="I12" s="118">
        <v>76.7</v>
      </c>
      <c r="J12" s="118">
        <v>76.3</v>
      </c>
      <c r="K12" s="118">
        <v>76.599999999999994</v>
      </c>
      <c r="L12" s="118">
        <v>77.2</v>
      </c>
      <c r="M12" s="149">
        <v>76.599999999999994</v>
      </c>
      <c r="N12" s="150">
        <v>76.2</v>
      </c>
      <c r="O12" s="151">
        <v>75.400000000000006</v>
      </c>
      <c r="P12" s="149">
        <v>75</v>
      </c>
      <c r="Q12" s="147">
        <v>74.400000000000006</v>
      </c>
      <c r="R12" s="118">
        <v>73.5</v>
      </c>
      <c r="S12" s="118">
        <v>72.7</v>
      </c>
    </row>
    <row r="13" spans="1:19" s="148" customFormat="1">
      <c r="A13" s="153" t="s">
        <v>385</v>
      </c>
      <c r="B13" s="118">
        <v>79.3</v>
      </c>
      <c r="C13" s="118">
        <v>79.5</v>
      </c>
      <c r="D13" s="118">
        <v>80</v>
      </c>
      <c r="E13" s="118">
        <v>80.099999999999994</v>
      </c>
      <c r="F13" s="118">
        <v>80.900000000000006</v>
      </c>
      <c r="G13" s="118">
        <v>81</v>
      </c>
      <c r="H13" s="118">
        <v>80.3</v>
      </c>
      <c r="I13" s="118">
        <v>81.3</v>
      </c>
      <c r="J13" s="118">
        <v>81.099999999999994</v>
      </c>
      <c r="K13" s="118">
        <v>81.400000000000006</v>
      </c>
      <c r="L13" s="118">
        <v>81.7</v>
      </c>
      <c r="M13" s="149">
        <v>81.2</v>
      </c>
      <c r="N13" s="150">
        <v>80.900000000000006</v>
      </c>
      <c r="O13" s="151">
        <v>80.599999999999994</v>
      </c>
      <c r="P13" s="149">
        <v>80.099999999999994</v>
      </c>
      <c r="Q13" s="147">
        <v>79.5</v>
      </c>
      <c r="R13" s="118">
        <v>79</v>
      </c>
      <c r="S13" s="118">
        <v>78.5</v>
      </c>
    </row>
    <row r="14" spans="1:19" s="148" customFormat="1">
      <c r="A14" s="153" t="s">
        <v>55</v>
      </c>
      <c r="B14" s="118">
        <v>77.400000000000006</v>
      </c>
      <c r="C14" s="118">
        <v>78.099999999999994</v>
      </c>
      <c r="D14" s="118">
        <v>78.900000000000006</v>
      </c>
      <c r="E14" s="118">
        <v>79.099999999999994</v>
      </c>
      <c r="F14" s="118">
        <v>79.3</v>
      </c>
      <c r="G14" s="118">
        <v>80.099999999999994</v>
      </c>
      <c r="H14" s="118">
        <v>80.400000000000006</v>
      </c>
      <c r="I14" s="118">
        <v>80.3</v>
      </c>
      <c r="J14" s="118">
        <v>80.599999999999994</v>
      </c>
      <c r="K14" s="118">
        <v>80.5</v>
      </c>
      <c r="L14" s="118">
        <v>81.099999999999994</v>
      </c>
      <c r="M14" s="149">
        <v>80.599999999999994</v>
      </c>
      <c r="N14" s="150">
        <v>80.900000000000006</v>
      </c>
      <c r="O14" s="151">
        <v>80.400000000000006</v>
      </c>
      <c r="P14" s="149">
        <v>80.099999999999994</v>
      </c>
      <c r="Q14" s="147">
        <v>80.5</v>
      </c>
      <c r="R14" s="118">
        <v>80.5</v>
      </c>
      <c r="S14" s="118">
        <v>80.900000000000006</v>
      </c>
    </row>
    <row r="15" spans="1:19" s="148" customFormat="1">
      <c r="A15" s="143"/>
      <c r="B15" s="41"/>
      <c r="C15" s="41"/>
      <c r="D15" s="41"/>
      <c r="E15" s="41"/>
      <c r="F15" s="41"/>
      <c r="G15" s="41"/>
      <c r="H15" s="41"/>
      <c r="I15" s="41"/>
      <c r="J15" s="41"/>
      <c r="K15" s="41"/>
      <c r="L15" s="41"/>
      <c r="M15" s="41"/>
      <c r="N15" s="41"/>
      <c r="O15" s="41"/>
      <c r="P15" s="41"/>
      <c r="Q15" s="42"/>
    </row>
    <row r="16" spans="1:19" s="148" customFormat="1">
      <c r="A16" s="143" t="s">
        <v>54</v>
      </c>
      <c r="B16" s="41"/>
      <c r="C16" s="41"/>
      <c r="D16" s="41"/>
      <c r="E16" s="41"/>
      <c r="F16" s="41"/>
      <c r="G16" s="41"/>
      <c r="H16" s="41"/>
      <c r="I16" s="41"/>
      <c r="J16" s="41"/>
      <c r="K16" s="41"/>
      <c r="L16" s="41"/>
      <c r="M16" s="41"/>
      <c r="N16" s="41"/>
      <c r="O16" s="41"/>
      <c r="P16" s="41"/>
      <c r="Q16" s="42"/>
    </row>
    <row r="17" spans="1:21" s="148" customFormat="1">
      <c r="A17" s="153" t="s">
        <v>53</v>
      </c>
      <c r="B17" s="43">
        <v>70</v>
      </c>
      <c r="C17" s="43">
        <v>70.899253851868608</v>
      </c>
      <c r="D17" s="43">
        <v>71.671588780814432</v>
      </c>
      <c r="E17" s="43">
        <v>71.964258709285076</v>
      </c>
      <c r="F17" s="43">
        <v>72.579548175939962</v>
      </c>
      <c r="G17" s="43">
        <v>73.193971772788061</v>
      </c>
      <c r="H17" s="43">
        <v>74.002971956116227</v>
      </c>
      <c r="I17" s="43">
        <v>74.257701765102041</v>
      </c>
      <c r="J17" s="43">
        <v>74.739808561294396</v>
      </c>
      <c r="K17" s="43">
        <v>75.367584593467768</v>
      </c>
      <c r="L17" s="43">
        <v>75.973456216405935</v>
      </c>
      <c r="M17" s="43">
        <v>75.824883516497678</v>
      </c>
      <c r="N17" s="43">
        <v>75.840845548013135</v>
      </c>
      <c r="O17" s="43">
        <v>75.246406308001497</v>
      </c>
      <c r="P17" s="43">
        <v>75.023612732112355</v>
      </c>
      <c r="Q17" s="43">
        <v>74.776503841460922</v>
      </c>
      <c r="R17" s="152">
        <v>74.441654181444633</v>
      </c>
      <c r="S17" s="152">
        <v>73.829545812714727</v>
      </c>
    </row>
    <row r="18" spans="1:21" s="148" customFormat="1">
      <c r="A18" s="153" t="s">
        <v>52</v>
      </c>
      <c r="B18" s="43">
        <v>41.2</v>
      </c>
      <c r="C18" s="43">
        <v>42.045955303745671</v>
      </c>
      <c r="D18" s="43">
        <v>42.773775873073767</v>
      </c>
      <c r="E18" s="43">
        <v>43.253968253968253</v>
      </c>
      <c r="F18" s="43">
        <v>44.720671174836554</v>
      </c>
      <c r="G18" s="43">
        <v>45.523660074132195</v>
      </c>
      <c r="H18" s="43">
        <v>46.031746031746032</v>
      </c>
      <c r="I18" s="43">
        <v>47.288464484501866</v>
      </c>
      <c r="J18" s="43">
        <v>46.970205824497427</v>
      </c>
      <c r="K18" s="43">
        <v>46.686022773669649</v>
      </c>
      <c r="L18" s="43">
        <v>48.085277016641044</v>
      </c>
      <c r="M18" s="43">
        <v>49.512111615167342</v>
      </c>
      <c r="N18" s="43">
        <v>49.655342702524742</v>
      </c>
      <c r="O18" s="43">
        <v>49.653364057130375</v>
      </c>
      <c r="P18" s="43">
        <v>49.134840218238502</v>
      </c>
      <c r="Q18" s="43">
        <v>48.443330883672573</v>
      </c>
      <c r="R18" s="152">
        <v>47.507763856521052</v>
      </c>
      <c r="S18" s="152">
        <v>46.907980003703017</v>
      </c>
    </row>
    <row r="19" spans="1:21" s="148" customFormat="1">
      <c r="A19" s="153" t="s">
        <v>51</v>
      </c>
      <c r="B19" s="43">
        <v>42.5</v>
      </c>
      <c r="C19" s="43">
        <v>42.93586858212565</v>
      </c>
      <c r="D19" s="43">
        <v>44.486739730611561</v>
      </c>
      <c r="E19" s="43">
        <v>45.353144550543298</v>
      </c>
      <c r="F19" s="43">
        <v>46.136696860752373</v>
      </c>
      <c r="G19" s="43">
        <v>46.743385000782837</v>
      </c>
      <c r="H19" s="43">
        <v>47.227718930663869</v>
      </c>
      <c r="I19" s="43">
        <v>48.397944171650195</v>
      </c>
      <c r="J19" s="43">
        <v>48.215458725640467</v>
      </c>
      <c r="K19" s="43">
        <v>48.805114111602336</v>
      </c>
      <c r="L19" s="43">
        <v>49.696352309681458</v>
      </c>
      <c r="M19" s="43">
        <v>48.763250883392232</v>
      </c>
      <c r="N19" s="43">
        <v>48.369483071342202</v>
      </c>
      <c r="O19" s="43">
        <v>47.791486506634854</v>
      </c>
      <c r="P19" s="43">
        <v>47.89453544942694</v>
      </c>
      <c r="Q19" s="43">
        <v>46.625082151878573</v>
      </c>
      <c r="R19" s="152">
        <v>45.859421011031209</v>
      </c>
      <c r="S19" s="152">
        <v>45.38267481523593</v>
      </c>
      <c r="U19" s="238"/>
    </row>
    <row r="20" spans="1:21" s="148" customFormat="1">
      <c r="A20" s="153" t="s">
        <v>50</v>
      </c>
      <c r="B20" s="43">
        <v>50.8</v>
      </c>
      <c r="C20" s="43">
        <v>51.535465168946459</v>
      </c>
      <c r="D20" s="43">
        <v>51.495347019961635</v>
      </c>
      <c r="E20" s="43">
        <v>53.315436241610733</v>
      </c>
      <c r="F20" s="43">
        <v>53.714911151171776</v>
      </c>
      <c r="G20" s="43">
        <v>54.078267902693952</v>
      </c>
      <c r="H20" s="43">
        <v>54.315276932440646</v>
      </c>
      <c r="I20" s="43">
        <v>54.687951876915953</v>
      </c>
      <c r="J20" s="43">
        <v>55.022106631989587</v>
      </c>
      <c r="K20" s="43">
        <v>56.928137420622235</v>
      </c>
      <c r="L20" s="43">
        <v>59.748898678414086</v>
      </c>
      <c r="M20" s="43">
        <v>60.283507342330878</v>
      </c>
      <c r="N20" s="43">
        <v>60.841504281990808</v>
      </c>
      <c r="O20" s="43">
        <v>60.060642813826561</v>
      </c>
      <c r="P20" s="43">
        <v>59.454050592379119</v>
      </c>
      <c r="Q20" s="43">
        <v>59.040642119592071</v>
      </c>
      <c r="R20" s="152">
        <v>58.199906730918705</v>
      </c>
      <c r="S20" s="152">
        <v>57.379455715737599</v>
      </c>
    </row>
    <row r="21" spans="1:21" s="148" customFormat="1">
      <c r="A21" s="153" t="s">
        <v>49</v>
      </c>
      <c r="B21" s="43">
        <v>43.2</v>
      </c>
      <c r="C21" s="43">
        <v>43.673632017000173</v>
      </c>
      <c r="D21" s="43">
        <v>44.933009811161519</v>
      </c>
      <c r="E21" s="43">
        <v>45.824151158994447</v>
      </c>
      <c r="F21" s="43">
        <v>46.802694136291599</v>
      </c>
      <c r="G21" s="43">
        <v>47.442619802170363</v>
      </c>
      <c r="H21" s="43">
        <v>47.89900096315462</v>
      </c>
      <c r="I21" s="43">
        <v>48.998106513226837</v>
      </c>
      <c r="J21" s="43">
        <v>48.9257566487926</v>
      </c>
      <c r="K21" s="43">
        <v>49.531366996875782</v>
      </c>
      <c r="L21" s="43">
        <v>51.010241497028709</v>
      </c>
      <c r="M21" s="43">
        <v>51.267508948564142</v>
      </c>
      <c r="N21" s="43">
        <v>51.264936594058774</v>
      </c>
      <c r="O21" s="43">
        <v>50.877015815803375</v>
      </c>
      <c r="P21" s="43">
        <v>50.581240233258384</v>
      </c>
      <c r="Q21" s="43">
        <v>49.72302815284494</v>
      </c>
      <c r="R21" s="152">
        <v>48.892786904712885</v>
      </c>
      <c r="S21" s="152">
        <v>48.31330142841486</v>
      </c>
    </row>
    <row r="22" spans="1:21" s="148" customFormat="1">
      <c r="A22" s="143"/>
      <c r="B22" s="41"/>
      <c r="C22" s="41"/>
      <c r="D22" s="41"/>
      <c r="E22" s="41"/>
      <c r="F22" s="41"/>
      <c r="G22" s="41"/>
      <c r="H22" s="41"/>
      <c r="I22" s="41"/>
      <c r="J22" s="41"/>
      <c r="K22" s="41"/>
      <c r="L22" s="41"/>
      <c r="M22" s="41"/>
      <c r="N22" s="41"/>
      <c r="O22" s="41"/>
      <c r="P22" s="41"/>
      <c r="Q22" s="42"/>
    </row>
    <row r="23" spans="1:21" s="148" customFormat="1">
      <c r="A23" s="143" t="s">
        <v>48</v>
      </c>
      <c r="B23" s="41"/>
      <c r="C23" s="41"/>
      <c r="D23" s="41"/>
      <c r="E23" s="41"/>
      <c r="F23" s="41"/>
      <c r="G23" s="41"/>
      <c r="H23" s="41"/>
      <c r="I23" s="41"/>
      <c r="J23" s="41"/>
      <c r="K23" s="41"/>
      <c r="L23" s="41"/>
      <c r="M23" s="41"/>
      <c r="N23" s="41"/>
      <c r="O23" s="41"/>
      <c r="P23" s="41"/>
      <c r="Q23" s="42"/>
    </row>
    <row r="24" spans="1:21" s="148" customFormat="1">
      <c r="A24" s="153" t="s">
        <v>47</v>
      </c>
      <c r="B24" s="41">
        <v>61.5</v>
      </c>
      <c r="C24" s="41">
        <v>61.999999999999993</v>
      </c>
      <c r="D24" s="41">
        <v>62.2</v>
      </c>
      <c r="E24" s="41">
        <v>62.424999999999997</v>
      </c>
      <c r="F24" s="41">
        <v>62.625</v>
      </c>
      <c r="G24" s="41">
        <v>63.075000000000003</v>
      </c>
      <c r="H24" s="41">
        <v>63.45</v>
      </c>
      <c r="I24" s="41">
        <v>63.725000000000001</v>
      </c>
      <c r="J24" s="41">
        <v>64.25</v>
      </c>
      <c r="K24" s="41">
        <v>64.375</v>
      </c>
      <c r="L24" s="41">
        <v>65.025000000000006</v>
      </c>
      <c r="M24" s="41">
        <v>65.150000000000006</v>
      </c>
      <c r="N24" s="41">
        <v>65.225000000000009</v>
      </c>
      <c r="O24" s="41">
        <v>65</v>
      </c>
      <c r="P24" s="41">
        <v>64.599999999999994</v>
      </c>
      <c r="Q24" s="41">
        <v>63.975000000000001</v>
      </c>
      <c r="R24" s="150">
        <v>64.099999999999994</v>
      </c>
      <c r="S24" s="150">
        <v>63.6</v>
      </c>
    </row>
    <row r="25" spans="1:21" s="148" customFormat="1">
      <c r="A25" s="153" t="s">
        <v>46</v>
      </c>
      <c r="B25" s="41">
        <v>67.7</v>
      </c>
      <c r="C25" s="41">
        <v>69.150000000000006</v>
      </c>
      <c r="D25" s="41">
        <v>70.600000000000009</v>
      </c>
      <c r="E25" s="41">
        <v>70.5</v>
      </c>
      <c r="F25" s="118">
        <v>71.099999999999994</v>
      </c>
      <c r="G25" s="118">
        <v>71.7</v>
      </c>
      <c r="H25" s="41">
        <v>72.599999999999994</v>
      </c>
      <c r="I25" s="41">
        <v>73.075000000000003</v>
      </c>
      <c r="J25" s="41">
        <v>73.125</v>
      </c>
      <c r="K25" s="41">
        <v>73.174999999999997</v>
      </c>
      <c r="L25" s="41">
        <v>73.8</v>
      </c>
      <c r="M25" s="118">
        <v>73.099999999999994</v>
      </c>
      <c r="N25" s="41">
        <v>72.7</v>
      </c>
      <c r="O25" s="41">
        <v>71.900000000000006</v>
      </c>
      <c r="P25" s="147">
        <v>71.7</v>
      </c>
      <c r="Q25" s="41">
        <v>71.024999999999991</v>
      </c>
      <c r="R25" s="150">
        <v>70.8</v>
      </c>
      <c r="S25" s="150">
        <v>70.2</v>
      </c>
    </row>
    <row r="26" spans="1:21" s="148" customFormat="1">
      <c r="A26" s="153" t="s">
        <v>45</v>
      </c>
      <c r="B26" s="41">
        <v>65.599999999999994</v>
      </c>
      <c r="C26" s="41">
        <v>66.674999999999997</v>
      </c>
      <c r="D26" s="41">
        <v>67.449999999999989</v>
      </c>
      <c r="E26" s="41">
        <v>67.974999999999994</v>
      </c>
      <c r="F26" s="41">
        <v>68.600000000000009</v>
      </c>
      <c r="G26" s="41">
        <v>69.125</v>
      </c>
      <c r="H26" s="41">
        <v>69.55</v>
      </c>
      <c r="I26" s="41">
        <v>69.8</v>
      </c>
      <c r="J26" s="41">
        <v>69.724999999999994</v>
      </c>
      <c r="K26" s="41">
        <v>70.075000000000003</v>
      </c>
      <c r="L26" s="41">
        <v>70.924999999999997</v>
      </c>
      <c r="M26" s="41">
        <v>70.8</v>
      </c>
      <c r="N26" s="143">
        <v>70.5</v>
      </c>
      <c r="O26" s="147">
        <v>70.099999999999994</v>
      </c>
      <c r="P26" s="41">
        <v>69.900000000000006</v>
      </c>
      <c r="Q26" s="41">
        <v>69.599999999999994</v>
      </c>
      <c r="R26" s="150">
        <v>69</v>
      </c>
      <c r="S26" s="150">
        <v>68.3</v>
      </c>
    </row>
    <row r="27" spans="1:21" s="148" customFormat="1">
      <c r="A27" s="153" t="s">
        <v>44</v>
      </c>
      <c r="B27" s="41">
        <v>59.4</v>
      </c>
      <c r="C27" s="41">
        <v>59.199999999999996</v>
      </c>
      <c r="D27" s="41">
        <v>59.199999999999996</v>
      </c>
      <c r="E27" s="41">
        <v>59.625</v>
      </c>
      <c r="F27" s="41">
        <v>60.475000000000001</v>
      </c>
      <c r="G27" s="41">
        <v>60.924999999999997</v>
      </c>
      <c r="H27" s="118">
        <v>61.7</v>
      </c>
      <c r="I27" s="41">
        <v>62.575000000000003</v>
      </c>
      <c r="J27" s="118">
        <v>62.498421999999998</v>
      </c>
      <c r="K27" s="41">
        <v>63.400000000000006</v>
      </c>
      <c r="L27" s="41">
        <v>64.199999999999989</v>
      </c>
      <c r="M27" s="41">
        <v>64.375</v>
      </c>
      <c r="N27" s="41">
        <v>64.725000000000009</v>
      </c>
      <c r="O27" s="41">
        <v>63.474999999999994</v>
      </c>
      <c r="P27" s="41">
        <v>63</v>
      </c>
      <c r="Q27" s="41">
        <v>62.575000000000003</v>
      </c>
      <c r="R27" s="150">
        <v>61.4</v>
      </c>
      <c r="S27" s="150">
        <v>60.5</v>
      </c>
    </row>
    <row r="29" spans="1:21" ht="12.75" customHeight="1">
      <c r="A29" s="261" t="s">
        <v>43</v>
      </c>
      <c r="B29" s="261"/>
      <c r="C29" s="261"/>
      <c r="D29" s="261"/>
      <c r="E29" s="261"/>
      <c r="F29" s="261"/>
      <c r="G29" s="261"/>
      <c r="H29" s="261"/>
      <c r="I29" s="261"/>
      <c r="J29" s="261"/>
      <c r="K29" s="261"/>
      <c r="L29" s="261"/>
      <c r="M29" s="261"/>
      <c r="N29" s="261"/>
      <c r="O29" s="261"/>
      <c r="P29" s="261"/>
      <c r="Q29" s="261"/>
      <c r="R29" s="261"/>
    </row>
    <row r="30" spans="1:21" ht="18" customHeight="1">
      <c r="A30" s="261"/>
      <c r="B30" s="261"/>
      <c r="C30" s="261"/>
      <c r="D30" s="261"/>
      <c r="E30" s="261"/>
      <c r="F30" s="261"/>
      <c r="G30" s="261"/>
      <c r="H30" s="261"/>
      <c r="I30" s="261"/>
      <c r="J30" s="261"/>
      <c r="K30" s="261"/>
      <c r="L30" s="261"/>
      <c r="M30" s="261"/>
      <c r="N30" s="261"/>
      <c r="O30" s="261"/>
      <c r="P30" s="261"/>
      <c r="Q30" s="261"/>
      <c r="R30" s="261"/>
    </row>
    <row r="31" spans="1:21" ht="12.75" customHeight="1">
      <c r="A31" s="261" t="s">
        <v>401</v>
      </c>
      <c r="B31" s="261"/>
      <c r="C31" s="261"/>
      <c r="D31" s="261"/>
      <c r="E31" s="261"/>
      <c r="F31" s="261"/>
      <c r="G31" s="261"/>
      <c r="H31" s="261"/>
      <c r="I31" s="261"/>
      <c r="J31" s="261"/>
      <c r="K31" s="261"/>
      <c r="L31" s="261"/>
      <c r="M31" s="261"/>
      <c r="N31" s="261"/>
      <c r="O31" s="261"/>
      <c r="P31" s="261"/>
      <c r="Q31" s="261"/>
      <c r="R31" s="261"/>
    </row>
    <row r="34" spans="3:17">
      <c r="K34" s="239"/>
      <c r="P34" s="239"/>
    </row>
    <row r="35" spans="3:17">
      <c r="K35" s="239"/>
      <c r="P35" s="239"/>
    </row>
    <row r="36" spans="3:17">
      <c r="P36" s="239"/>
    </row>
    <row r="37" spans="3:17">
      <c r="C37" s="240"/>
      <c r="D37" s="240"/>
      <c r="E37" s="240"/>
      <c r="F37" s="240"/>
      <c r="G37" s="240"/>
      <c r="H37" s="240"/>
      <c r="I37" s="240"/>
      <c r="J37" s="240"/>
      <c r="K37" s="240"/>
      <c r="L37" s="240"/>
      <c r="M37" s="240"/>
      <c r="N37" s="240"/>
      <c r="O37" s="240"/>
      <c r="P37" s="240"/>
      <c r="Q37" s="240"/>
    </row>
    <row r="38" spans="3:17">
      <c r="C38" s="240"/>
      <c r="D38" s="240"/>
      <c r="E38" s="240"/>
      <c r="F38" s="240"/>
      <c r="G38" s="240"/>
      <c r="H38" s="240"/>
      <c r="I38" s="240"/>
      <c r="J38" s="240"/>
      <c r="K38" s="240"/>
      <c r="L38" s="240"/>
      <c r="M38" s="240"/>
      <c r="N38" s="240"/>
      <c r="O38" s="240"/>
      <c r="P38" s="240"/>
      <c r="Q38" s="240"/>
    </row>
    <row r="55" spans="11:11">
      <c r="K55" s="239"/>
    </row>
    <row r="56" spans="11:11">
      <c r="K56" s="239"/>
    </row>
  </sheetData>
  <mergeCells count="2">
    <mergeCell ref="A29:R30"/>
    <mergeCell ref="A31:R31"/>
  </mergeCells>
  <pageMargins left="0.7" right="0.7" top="0.75" bottom="0.75" header="0.3" footer="0.3"/>
  <pageSetup scale="64"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M32"/>
  <sheetViews>
    <sheetView zoomScaleNormal="100" workbookViewId="0">
      <selection activeCell="L13" sqref="L13"/>
    </sheetView>
  </sheetViews>
  <sheetFormatPr defaultColWidth="8.85546875" defaultRowHeight="15"/>
  <cols>
    <col min="1" max="1" width="24.42578125" style="184" customWidth="1"/>
    <col min="2" max="2" width="10.42578125" style="184" bestFit="1" customWidth="1"/>
    <col min="3" max="3" width="16.85546875" style="184" bestFit="1" customWidth="1"/>
    <col min="4" max="4" width="14.28515625" style="184" bestFit="1" customWidth="1"/>
    <col min="5" max="5" width="11.42578125" style="184" bestFit="1" customWidth="1"/>
    <col min="6" max="6" width="10.42578125" style="184" bestFit="1" customWidth="1"/>
    <col min="7" max="7" width="16.7109375" style="184" bestFit="1" customWidth="1"/>
    <col min="8" max="8" width="14.28515625" style="184" bestFit="1" customWidth="1"/>
    <col min="9" max="9" width="11.42578125" style="184" bestFit="1" customWidth="1"/>
    <col min="10" max="10" width="10.42578125" style="184" bestFit="1" customWidth="1"/>
    <col min="11" max="11" width="16.7109375" style="184" bestFit="1" customWidth="1"/>
    <col min="12" max="12" width="14.140625" style="184" bestFit="1" customWidth="1"/>
    <col min="13" max="13" width="10.140625" style="184" customWidth="1"/>
    <col min="14" max="16384" width="8.85546875" style="184"/>
  </cols>
  <sheetData>
    <row r="1" spans="1:13">
      <c r="A1" s="179" t="s">
        <v>470</v>
      </c>
    </row>
    <row r="2" spans="1:13">
      <c r="A2" s="184" t="s">
        <v>386</v>
      </c>
    </row>
    <row r="4" spans="1:13">
      <c r="B4" s="262">
        <v>2001</v>
      </c>
      <c r="C4" s="262"/>
      <c r="D4" s="262"/>
      <c r="E4" s="262"/>
      <c r="F4" s="262">
        <v>2007</v>
      </c>
      <c r="G4" s="262"/>
      <c r="H4" s="262"/>
      <c r="I4" s="262"/>
      <c r="J4" s="262">
        <v>2010</v>
      </c>
      <c r="K4" s="262"/>
      <c r="L4" s="262"/>
      <c r="M4" s="262"/>
    </row>
    <row r="5" spans="1:13">
      <c r="A5" s="184" t="s">
        <v>61</v>
      </c>
      <c r="B5" s="184" t="s">
        <v>62</v>
      </c>
      <c r="C5" s="184" t="s">
        <v>63</v>
      </c>
      <c r="D5" s="184" t="s">
        <v>64</v>
      </c>
      <c r="E5" s="184" t="s">
        <v>65</v>
      </c>
      <c r="F5" s="184" t="s">
        <v>62</v>
      </c>
      <c r="G5" s="184" t="s">
        <v>63</v>
      </c>
      <c r="H5" s="184" t="s">
        <v>64</v>
      </c>
      <c r="I5" s="184" t="s">
        <v>65</v>
      </c>
      <c r="J5" s="184" t="s">
        <v>62</v>
      </c>
      <c r="K5" s="184" t="s">
        <v>63</v>
      </c>
      <c r="L5" s="184" t="s">
        <v>64</v>
      </c>
      <c r="M5" s="184" t="s">
        <v>65</v>
      </c>
    </row>
    <row r="7" spans="1:13">
      <c r="A7" s="184" t="s">
        <v>71</v>
      </c>
    </row>
    <row r="8" spans="1:13">
      <c r="A8" s="235" t="s">
        <v>66</v>
      </c>
      <c r="B8" s="214">
        <v>1318.008</v>
      </c>
      <c r="C8" s="214">
        <v>1031.3229999999999</v>
      </c>
      <c r="D8" s="214">
        <v>2931.3469999999998</v>
      </c>
      <c r="E8" s="214">
        <v>5280.6779999999999</v>
      </c>
      <c r="F8" s="214">
        <v>1040.7650000000001</v>
      </c>
      <c r="G8" s="214">
        <v>1043.21</v>
      </c>
      <c r="H8" s="214">
        <v>3191.8490000000002</v>
      </c>
      <c r="I8" s="214">
        <v>5275.8240000000005</v>
      </c>
      <c r="J8" s="214">
        <v>1036.51</v>
      </c>
      <c r="K8" s="214">
        <v>1001.739</v>
      </c>
      <c r="L8" s="214">
        <v>3531.2829999999999</v>
      </c>
      <c r="M8" s="214">
        <v>5569.5320000000002</v>
      </c>
    </row>
    <row r="9" spans="1:13">
      <c r="A9" s="235" t="s">
        <v>387</v>
      </c>
      <c r="B9" s="214">
        <v>4915.3780000000006</v>
      </c>
      <c r="C9" s="214">
        <v>1956.319</v>
      </c>
      <c r="D9" s="214">
        <v>1769.0479999999998</v>
      </c>
      <c r="E9" s="214">
        <v>8640.744999999999</v>
      </c>
      <c r="F9" s="214">
        <v>4429.2179999999998</v>
      </c>
      <c r="G9" s="214">
        <v>2233.913</v>
      </c>
      <c r="H9" s="214">
        <v>2447.0680000000002</v>
      </c>
      <c r="I9" s="214">
        <v>9110.1990000000005</v>
      </c>
      <c r="J9" s="214">
        <v>4597.5950000000003</v>
      </c>
      <c r="K9" s="214">
        <v>2411.299</v>
      </c>
      <c r="L9" s="214">
        <v>2786.6779999999999</v>
      </c>
      <c r="M9" s="214">
        <v>9795.5720000000001</v>
      </c>
    </row>
    <row r="10" spans="1:13">
      <c r="A10" s="235" t="s">
        <v>388</v>
      </c>
      <c r="B10" s="214">
        <v>6436.2979999999998</v>
      </c>
      <c r="C10" s="214">
        <v>2268.1030000000001</v>
      </c>
      <c r="D10" s="214">
        <v>960.83300000000008</v>
      </c>
      <c r="E10" s="214">
        <v>9665.2340000000004</v>
      </c>
      <c r="F10" s="214">
        <v>5951.8320000000003</v>
      </c>
      <c r="G10" s="214">
        <v>2660.0080000000003</v>
      </c>
      <c r="H10" s="214">
        <v>1564.7089999999998</v>
      </c>
      <c r="I10" s="214">
        <v>10176.548999999999</v>
      </c>
      <c r="J10" s="214">
        <v>6126.5140000000001</v>
      </c>
      <c r="K10" s="214">
        <v>2809.529</v>
      </c>
      <c r="L10" s="214">
        <v>1568.289</v>
      </c>
      <c r="M10" s="214">
        <v>10504.332</v>
      </c>
    </row>
    <row r="11" spans="1:13">
      <c r="A11" s="235" t="s">
        <v>389</v>
      </c>
      <c r="B11" s="214">
        <v>14011.189</v>
      </c>
      <c r="C11" s="214">
        <v>3145.2520000000004</v>
      </c>
      <c r="D11" s="214">
        <v>613.85500000000002</v>
      </c>
      <c r="E11" s="214">
        <v>17770.295999999998</v>
      </c>
      <c r="F11" s="214">
        <v>13162.224</v>
      </c>
      <c r="G11" s="214">
        <v>4142.5749999999998</v>
      </c>
      <c r="H11" s="214">
        <v>1365.126</v>
      </c>
      <c r="I11" s="214">
        <v>18669.924999999999</v>
      </c>
      <c r="J11" s="214">
        <v>13124.12</v>
      </c>
      <c r="K11" s="214">
        <v>3981.2019999999998</v>
      </c>
      <c r="L11" s="214">
        <v>1182.0619999999999</v>
      </c>
      <c r="M11" s="214">
        <v>18287.383999999998</v>
      </c>
    </row>
    <row r="12" spans="1:13">
      <c r="A12" s="235" t="s">
        <v>390</v>
      </c>
      <c r="B12" s="214">
        <v>26550.603999999999</v>
      </c>
      <c r="C12" s="214">
        <v>1868.7139999999999</v>
      </c>
      <c r="D12" s="214">
        <v>210.12100000000001</v>
      </c>
      <c r="E12" s="214">
        <v>28629.438999999998</v>
      </c>
      <c r="F12" s="214">
        <v>28140.909</v>
      </c>
      <c r="G12" s="214">
        <v>3535.2639999999997</v>
      </c>
      <c r="H12" s="214">
        <v>602.88700000000006</v>
      </c>
      <c r="I12" s="214">
        <v>32279.059999999998</v>
      </c>
      <c r="J12" s="214">
        <v>27283.813000000002</v>
      </c>
      <c r="K12" s="214">
        <v>3047.5450000000001</v>
      </c>
      <c r="L12" s="214">
        <v>459.52699999999999</v>
      </c>
      <c r="M12" s="214">
        <v>30790.884999999998</v>
      </c>
    </row>
    <row r="13" spans="1:13">
      <c r="A13" s="235" t="s">
        <v>65</v>
      </c>
      <c r="B13" s="214">
        <v>53231.476999999999</v>
      </c>
      <c r="C13" s="214">
        <v>10269.710999999999</v>
      </c>
      <c r="D13" s="214">
        <v>6485.2039999999988</v>
      </c>
      <c r="E13" s="214">
        <v>69986.391999999993</v>
      </c>
      <c r="F13" s="214">
        <v>52724.948000000004</v>
      </c>
      <c r="G13" s="214">
        <v>13614.97</v>
      </c>
      <c r="H13" s="214">
        <v>9171.639000000001</v>
      </c>
      <c r="I13" s="214">
        <v>75511.557000000001</v>
      </c>
      <c r="J13" s="214">
        <v>52168.552000000003</v>
      </c>
      <c r="K13" s="214">
        <v>13251.314</v>
      </c>
      <c r="L13" s="214">
        <v>9527.8389999999981</v>
      </c>
      <c r="M13" s="214">
        <v>74947.705000000002</v>
      </c>
    </row>
    <row r="14" spans="1:13">
      <c r="A14" s="235"/>
      <c r="B14" s="214"/>
      <c r="C14" s="214"/>
      <c r="D14" s="214"/>
      <c r="E14" s="214"/>
      <c r="F14" s="214"/>
      <c r="G14" s="214"/>
      <c r="H14" s="214"/>
      <c r="I14" s="214"/>
      <c r="J14" s="214"/>
      <c r="K14" s="214"/>
      <c r="L14" s="214"/>
      <c r="M14" s="214"/>
    </row>
    <row r="15" spans="1:13">
      <c r="A15" s="236" t="s">
        <v>72</v>
      </c>
      <c r="B15" s="214"/>
      <c r="C15" s="214"/>
      <c r="D15" s="214"/>
      <c r="E15" s="214"/>
      <c r="F15" s="214"/>
      <c r="G15" s="214"/>
      <c r="H15" s="214"/>
      <c r="I15" s="214"/>
      <c r="J15" s="214"/>
      <c r="K15" s="214"/>
      <c r="L15" s="214"/>
      <c r="M15" s="214"/>
    </row>
    <row r="16" spans="1:13">
      <c r="A16" s="235" t="s">
        <v>66</v>
      </c>
      <c r="B16" s="214">
        <v>1667.0450000000001</v>
      </c>
      <c r="C16" s="214">
        <v>1188.1859999999999</v>
      </c>
      <c r="D16" s="214">
        <v>5290.1310000000003</v>
      </c>
      <c r="E16" s="214">
        <v>8145.3620000000001</v>
      </c>
      <c r="F16" s="214">
        <v>1714.675</v>
      </c>
      <c r="G16" s="214">
        <v>1197.325</v>
      </c>
      <c r="H16" s="214">
        <v>5818.7240000000002</v>
      </c>
      <c r="I16" s="214">
        <v>8730.7240000000002</v>
      </c>
      <c r="J16" s="214">
        <v>1719.7510000000002</v>
      </c>
      <c r="K16" s="214">
        <v>1200.72</v>
      </c>
      <c r="L16" s="214">
        <v>6991.8040000000001</v>
      </c>
      <c r="M16" s="214">
        <v>9912.2750000000015</v>
      </c>
    </row>
    <row r="17" spans="1:13">
      <c r="A17" s="235" t="s">
        <v>387</v>
      </c>
      <c r="B17" s="214">
        <v>2847.3049999999998</v>
      </c>
      <c r="C17" s="214">
        <v>3429.518</v>
      </c>
      <c r="D17" s="214">
        <v>1739.066</v>
      </c>
      <c r="E17" s="214">
        <v>8015.8890000000001</v>
      </c>
      <c r="F17" s="214">
        <v>2688.4949999999999</v>
      </c>
      <c r="G17" s="214">
        <v>3631.8560000000002</v>
      </c>
      <c r="H17" s="214">
        <v>2406.2489999999998</v>
      </c>
      <c r="I17" s="214">
        <v>8726.6</v>
      </c>
      <c r="J17" s="214">
        <v>2572.076</v>
      </c>
      <c r="K17" s="214">
        <v>3912.67</v>
      </c>
      <c r="L17" s="214">
        <v>3004.444</v>
      </c>
      <c r="M17" s="214">
        <v>9489.19</v>
      </c>
    </row>
    <row r="18" spans="1:13">
      <c r="A18" s="235" t="s">
        <v>388</v>
      </c>
      <c r="B18" s="214">
        <v>4904.8419999999996</v>
      </c>
      <c r="C18" s="214">
        <v>1780.9949999999999</v>
      </c>
      <c r="D18" s="214">
        <v>253.953</v>
      </c>
      <c r="E18" s="214">
        <v>6939.79</v>
      </c>
      <c r="F18" s="214">
        <v>4306.2030000000004</v>
      </c>
      <c r="G18" s="214">
        <v>2038.568</v>
      </c>
      <c r="H18" s="214">
        <v>427.79899999999998</v>
      </c>
      <c r="I18" s="214">
        <v>6772.5700000000006</v>
      </c>
      <c r="J18" s="214">
        <v>4197.54</v>
      </c>
      <c r="K18" s="214">
        <v>2359.8789999999999</v>
      </c>
      <c r="L18" s="214">
        <v>556.89200000000005</v>
      </c>
      <c r="M18" s="214">
        <v>7114.3109999999997</v>
      </c>
    </row>
    <row r="19" spans="1:13">
      <c r="A19" s="235" t="s">
        <v>389</v>
      </c>
      <c r="B19" s="214">
        <v>7148.8850000000002</v>
      </c>
      <c r="C19" s="214">
        <v>656.83399999999995</v>
      </c>
      <c r="D19" s="214">
        <v>71.783000000000001</v>
      </c>
      <c r="E19" s="214">
        <v>7877.5020000000004</v>
      </c>
      <c r="F19" s="214">
        <v>6413.6350000000002</v>
      </c>
      <c r="G19" s="214">
        <v>947.00199999999995</v>
      </c>
      <c r="H19" s="214">
        <v>112.20099999999999</v>
      </c>
      <c r="I19" s="214">
        <v>7472.8380000000006</v>
      </c>
      <c r="J19" s="214">
        <v>6294.098</v>
      </c>
      <c r="K19" s="214">
        <v>1192.606</v>
      </c>
      <c r="L19" s="214">
        <v>134.52699999999999</v>
      </c>
      <c r="M19" s="214">
        <v>7621.2309999999998</v>
      </c>
    </row>
    <row r="20" spans="1:13">
      <c r="A20" s="235" t="s">
        <v>390</v>
      </c>
      <c r="B20" s="214">
        <v>5340.0729999999994</v>
      </c>
      <c r="C20" s="214">
        <v>124.83199999999999</v>
      </c>
      <c r="D20" s="214">
        <v>6.1779999999999999</v>
      </c>
      <c r="E20" s="214">
        <v>5471.0829999999996</v>
      </c>
      <c r="F20" s="214">
        <v>4983.0600000000004</v>
      </c>
      <c r="G20" s="214">
        <v>173.04300000000001</v>
      </c>
      <c r="H20" s="214">
        <v>7.5709999999999997</v>
      </c>
      <c r="I20" s="214">
        <v>5163.674</v>
      </c>
      <c r="J20" s="214">
        <v>5261.634</v>
      </c>
      <c r="K20" s="214">
        <v>214.762</v>
      </c>
      <c r="L20" s="214">
        <v>6.3410000000000002</v>
      </c>
      <c r="M20" s="214">
        <v>5482.7370000000001</v>
      </c>
    </row>
    <row r="21" spans="1:13">
      <c r="A21" s="235" t="s">
        <v>65</v>
      </c>
      <c r="B21" s="214">
        <v>21908.149999999998</v>
      </c>
      <c r="C21" s="214">
        <v>7180.3649999999998</v>
      </c>
      <c r="D21" s="214">
        <v>7361.1110000000008</v>
      </c>
      <c r="E21" s="214">
        <v>36449.626000000004</v>
      </c>
      <c r="F21" s="214">
        <v>20106.067999999999</v>
      </c>
      <c r="G21" s="214">
        <v>7987.7939999999999</v>
      </c>
      <c r="H21" s="214">
        <v>8772.5439999999999</v>
      </c>
      <c r="I21" s="214">
        <v>36866.406000000003</v>
      </c>
      <c r="J21" s="214">
        <v>20045.099000000002</v>
      </c>
      <c r="K21" s="214">
        <v>8880.6370000000006</v>
      </c>
      <c r="L21" s="214">
        <v>10694.008</v>
      </c>
      <c r="M21" s="214">
        <v>39619.744000000006</v>
      </c>
    </row>
    <row r="22" spans="1:13">
      <c r="B22" s="214"/>
      <c r="C22" s="214"/>
      <c r="D22" s="214"/>
      <c r="E22" s="214"/>
      <c r="F22" s="214"/>
      <c r="G22" s="214"/>
      <c r="H22" s="214"/>
      <c r="I22" s="214"/>
      <c r="J22" s="214"/>
      <c r="K22" s="214"/>
      <c r="L22" s="214"/>
      <c r="M22" s="214"/>
    </row>
    <row r="23" spans="1:13">
      <c r="A23" s="236" t="s">
        <v>58</v>
      </c>
      <c r="B23" s="214"/>
      <c r="C23" s="214"/>
      <c r="D23" s="214"/>
      <c r="E23" s="214"/>
      <c r="F23" s="214"/>
      <c r="G23" s="214"/>
      <c r="H23" s="214"/>
      <c r="I23" s="214"/>
      <c r="J23" s="214"/>
      <c r="K23" s="214"/>
      <c r="L23" s="214"/>
      <c r="M23" s="214"/>
    </row>
    <row r="24" spans="1:13">
      <c r="A24" s="235" t="s">
        <v>66</v>
      </c>
      <c r="B24" s="214">
        <v>2985.0529999999999</v>
      </c>
      <c r="C24" s="214">
        <v>2219.509</v>
      </c>
      <c r="D24" s="214">
        <v>8221.4779999999992</v>
      </c>
      <c r="E24" s="214">
        <v>13426.039999999999</v>
      </c>
      <c r="F24" s="214">
        <v>2755.44</v>
      </c>
      <c r="G24" s="214">
        <v>2240.5349999999999</v>
      </c>
      <c r="H24" s="214">
        <v>9010.5730000000003</v>
      </c>
      <c r="I24" s="214">
        <v>14006.548000000001</v>
      </c>
      <c r="J24" s="214">
        <v>2756.261</v>
      </c>
      <c r="K24" s="214">
        <v>2202.4589999999998</v>
      </c>
      <c r="L24" s="214">
        <v>10523.087</v>
      </c>
      <c r="M24" s="214">
        <v>15481.807000000001</v>
      </c>
    </row>
    <row r="25" spans="1:13">
      <c r="A25" s="235" t="s">
        <v>387</v>
      </c>
      <c r="B25" s="214">
        <v>7762.6830000000009</v>
      </c>
      <c r="C25" s="214">
        <v>5385.8369999999995</v>
      </c>
      <c r="D25" s="214">
        <v>3508.1139999999996</v>
      </c>
      <c r="E25" s="214">
        <v>16656.633999999998</v>
      </c>
      <c r="F25" s="214">
        <v>7117.7129999999997</v>
      </c>
      <c r="G25" s="214">
        <v>5865.7690000000002</v>
      </c>
      <c r="H25" s="214">
        <v>4853.317</v>
      </c>
      <c r="I25" s="214">
        <v>17836.798999999999</v>
      </c>
      <c r="J25" s="214">
        <v>7169.6710000000003</v>
      </c>
      <c r="K25" s="214">
        <v>6323.9690000000001</v>
      </c>
      <c r="L25" s="214">
        <v>5791.1219999999994</v>
      </c>
      <c r="M25" s="214">
        <v>19284.761999999999</v>
      </c>
    </row>
    <row r="26" spans="1:13">
      <c r="A26" s="235" t="s">
        <v>388</v>
      </c>
      <c r="B26" s="214">
        <v>11341.14</v>
      </c>
      <c r="C26" s="214">
        <v>4049.098</v>
      </c>
      <c r="D26" s="214">
        <v>1214.7860000000001</v>
      </c>
      <c r="E26" s="214">
        <v>16605.023999999998</v>
      </c>
      <c r="F26" s="214">
        <v>10258.035</v>
      </c>
      <c r="G26" s="214">
        <v>4698.576</v>
      </c>
      <c r="H26" s="214">
        <v>1992.5079999999998</v>
      </c>
      <c r="I26" s="214">
        <v>16949.118999999999</v>
      </c>
      <c r="J26" s="214">
        <v>10324.054</v>
      </c>
      <c r="K26" s="214">
        <v>5169.4079999999994</v>
      </c>
      <c r="L26" s="214">
        <v>2125.181</v>
      </c>
      <c r="M26" s="214">
        <v>17618.643</v>
      </c>
    </row>
    <row r="27" spans="1:13">
      <c r="A27" s="235" t="s">
        <v>389</v>
      </c>
      <c r="B27" s="214">
        <v>21160.074000000001</v>
      </c>
      <c r="C27" s="214">
        <v>3802.0860000000002</v>
      </c>
      <c r="D27" s="214">
        <v>685.63800000000003</v>
      </c>
      <c r="E27" s="214">
        <v>25647.797999999999</v>
      </c>
      <c r="F27" s="214">
        <v>19575.859</v>
      </c>
      <c r="G27" s="214">
        <v>5089.5769999999993</v>
      </c>
      <c r="H27" s="214">
        <v>1477.327</v>
      </c>
      <c r="I27" s="214">
        <v>26142.763000000003</v>
      </c>
      <c r="J27" s="214">
        <v>19418.218000000001</v>
      </c>
      <c r="K27" s="214">
        <v>5173.808</v>
      </c>
      <c r="L27" s="214">
        <v>1316.5889999999999</v>
      </c>
      <c r="M27" s="214">
        <v>25908.615000000002</v>
      </c>
    </row>
    <row r="28" spans="1:13">
      <c r="A28" s="235" t="s">
        <v>390</v>
      </c>
      <c r="B28" s="214">
        <v>31890.677</v>
      </c>
      <c r="C28" s="214">
        <v>1993.5459999999998</v>
      </c>
      <c r="D28" s="214">
        <v>216.29900000000001</v>
      </c>
      <c r="E28" s="214">
        <v>34100.521999999997</v>
      </c>
      <c r="F28" s="214">
        <v>33123.968999999997</v>
      </c>
      <c r="G28" s="214">
        <v>3708.3069999999998</v>
      </c>
      <c r="H28" s="214">
        <v>610.45800000000008</v>
      </c>
      <c r="I28" s="214">
        <v>37442.733999999997</v>
      </c>
      <c r="J28" s="214">
        <v>32545.447</v>
      </c>
      <c r="K28" s="214">
        <v>3262.3070000000002</v>
      </c>
      <c r="L28" s="214">
        <v>465.86799999999999</v>
      </c>
      <c r="M28" s="214">
        <v>36273.622000000003</v>
      </c>
    </row>
    <row r="29" spans="1:13">
      <c r="A29" s="235" t="s">
        <v>65</v>
      </c>
      <c r="B29" s="214">
        <v>75139.626999999993</v>
      </c>
      <c r="C29" s="214">
        <v>17450.075999999997</v>
      </c>
      <c r="D29" s="214">
        <v>13846.315000000001</v>
      </c>
      <c r="E29" s="214">
        <v>106436.018</v>
      </c>
      <c r="F29" s="214">
        <v>72831.016000000003</v>
      </c>
      <c r="G29" s="214">
        <v>21602.764000000003</v>
      </c>
      <c r="H29" s="214">
        <v>17944.182999999997</v>
      </c>
      <c r="I29" s="214">
        <v>112377.96299999999</v>
      </c>
      <c r="J29" s="214">
        <v>72213.650999999998</v>
      </c>
      <c r="K29" s="214">
        <v>22131.951000000001</v>
      </c>
      <c r="L29" s="214">
        <v>20221.846999999998</v>
      </c>
      <c r="M29" s="214">
        <v>114567.44899999999</v>
      </c>
    </row>
    <row r="30" spans="1:13">
      <c r="A30" s="184" t="s">
        <v>409</v>
      </c>
    </row>
    <row r="31" spans="1:13">
      <c r="A31" s="184" t="s">
        <v>407</v>
      </c>
    </row>
    <row r="32" spans="1:13">
      <c r="A32" s="184" t="s">
        <v>402</v>
      </c>
    </row>
  </sheetData>
  <mergeCells count="3">
    <mergeCell ref="B4:E4"/>
    <mergeCell ref="F4:I4"/>
    <mergeCell ref="J4:M4"/>
  </mergeCells>
  <pageMargins left="0.7" right="0.7" top="0.75" bottom="0.75" header="0.3" footer="0.3"/>
  <pageSetup scale="4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Q46"/>
  <sheetViews>
    <sheetView zoomScale="85" zoomScaleNormal="85" workbookViewId="0">
      <selection activeCell="J21" sqref="J21"/>
    </sheetView>
  </sheetViews>
  <sheetFormatPr defaultRowHeight="15"/>
  <cols>
    <col min="1" max="1" width="31.42578125" style="181" customWidth="1"/>
    <col min="2" max="7" width="10.28515625" style="181" customWidth="1"/>
    <col min="8" max="9" width="9.140625" style="181" customWidth="1"/>
    <col min="10" max="16384" width="9.140625" style="181"/>
  </cols>
  <sheetData>
    <row r="1" spans="1:17">
      <c r="A1" s="222" t="s">
        <v>476</v>
      </c>
      <c r="B1" s="182"/>
      <c r="C1" s="182"/>
      <c r="D1" s="182"/>
      <c r="E1" s="182"/>
      <c r="F1" s="182"/>
      <c r="G1" s="182"/>
    </row>
    <row r="2" spans="1:17">
      <c r="A2" s="182"/>
      <c r="B2" s="182"/>
      <c r="C2" s="182"/>
      <c r="D2" s="182"/>
      <c r="E2" s="182"/>
      <c r="F2" s="182"/>
      <c r="G2" s="182"/>
    </row>
    <row r="3" spans="1:17">
      <c r="A3" s="182" t="s">
        <v>59</v>
      </c>
      <c r="B3" s="182"/>
      <c r="C3" s="182"/>
      <c r="D3" s="182"/>
      <c r="E3" s="182"/>
      <c r="F3" s="182"/>
      <c r="G3" s="182"/>
    </row>
    <row r="4" spans="1:17">
      <c r="A4" s="182"/>
      <c r="B4" s="182"/>
      <c r="C4" s="182"/>
      <c r="D4" s="182"/>
      <c r="E4" s="182"/>
      <c r="F4" s="182"/>
      <c r="G4" s="182"/>
    </row>
    <row r="5" spans="1:17" ht="43.5" customHeight="1">
      <c r="A5" s="175"/>
      <c r="B5" s="263" t="s">
        <v>102</v>
      </c>
      <c r="C5" s="264"/>
      <c r="D5" s="264"/>
      <c r="E5" s="264"/>
      <c r="F5" s="264"/>
      <c r="G5" s="265"/>
    </row>
    <row r="6" spans="1:17" ht="30">
      <c r="A6" s="224"/>
      <c r="B6" s="225" t="s">
        <v>66</v>
      </c>
      <c r="C6" s="225" t="s">
        <v>67</v>
      </c>
      <c r="D6" s="225" t="s">
        <v>68</v>
      </c>
      <c r="E6" s="225" t="s">
        <v>69</v>
      </c>
      <c r="F6" s="225" t="s">
        <v>70</v>
      </c>
      <c r="G6" s="223" t="s">
        <v>65</v>
      </c>
    </row>
    <row r="7" spans="1:17">
      <c r="A7" s="226" t="s">
        <v>60</v>
      </c>
      <c r="B7" s="225"/>
      <c r="C7" s="225"/>
      <c r="D7" s="225"/>
      <c r="E7" s="225"/>
      <c r="F7" s="225"/>
      <c r="G7" s="223"/>
      <c r="M7" s="251"/>
      <c r="Q7" s="252"/>
    </row>
    <row r="8" spans="1:17">
      <c r="A8" s="227" t="s">
        <v>73</v>
      </c>
      <c r="B8" s="88">
        <v>94.068524592152741</v>
      </c>
      <c r="C8" s="88">
        <v>56.913809513545644</v>
      </c>
      <c r="D8" s="88">
        <v>24.842296099644535</v>
      </c>
      <c r="E8" s="88">
        <v>9.0894083598396769</v>
      </c>
      <c r="F8" s="88">
        <v>1.8601349872671282</v>
      </c>
      <c r="G8" s="88">
        <v>15.283781959697713</v>
      </c>
      <c r="Q8" s="252"/>
    </row>
    <row r="9" spans="1:17">
      <c r="A9" s="227" t="s">
        <v>74</v>
      </c>
      <c r="B9" s="88">
        <v>44.223233263940557</v>
      </c>
      <c r="C9" s="88">
        <v>5.1632431445265992</v>
      </c>
      <c r="D9" s="88">
        <v>0.70855591113406302</v>
      </c>
      <c r="E9" s="88">
        <v>0.16218204102091949</v>
      </c>
      <c r="F9" s="88">
        <v>1.8545872312489742E-3</v>
      </c>
      <c r="G9" s="88">
        <v>7.450552916053482</v>
      </c>
      <c r="Q9" s="252"/>
    </row>
    <row r="10" spans="1:17">
      <c r="A10" s="227" t="s">
        <v>72</v>
      </c>
      <c r="B10" s="88">
        <v>70.536824291093609</v>
      </c>
      <c r="C10" s="88">
        <v>31.661754059092505</v>
      </c>
      <c r="D10" s="88">
        <v>7.8277713751900917</v>
      </c>
      <c r="E10" s="88">
        <v>1.7651610350086488</v>
      </c>
      <c r="F10" s="88">
        <v>0.11565391518870959</v>
      </c>
      <c r="G10" s="88">
        <v>26.991613070493301</v>
      </c>
      <c r="Q10" s="252"/>
    </row>
    <row r="11" spans="1:17">
      <c r="A11" s="227"/>
      <c r="B11" s="89"/>
      <c r="C11" s="89"/>
      <c r="D11" s="89"/>
      <c r="E11" s="89"/>
      <c r="F11" s="89"/>
      <c r="G11" s="90"/>
      <c r="Q11" s="252"/>
    </row>
    <row r="12" spans="1:17">
      <c r="A12" s="175" t="s">
        <v>57</v>
      </c>
      <c r="B12" s="91"/>
      <c r="C12" s="91"/>
      <c r="D12" s="91"/>
      <c r="E12" s="91"/>
      <c r="F12" s="91"/>
      <c r="G12" s="91"/>
      <c r="Q12" s="252"/>
    </row>
    <row r="13" spans="1:17">
      <c r="A13" s="228" t="s">
        <v>75</v>
      </c>
      <c r="B13" s="88">
        <v>83.798221263726418</v>
      </c>
      <c r="C13" s="88">
        <v>30.844352083351346</v>
      </c>
      <c r="D13" s="88">
        <v>7.1896984882782444</v>
      </c>
      <c r="E13" s="88">
        <v>2.1436228606664489</v>
      </c>
      <c r="F13" s="88">
        <v>0.57632235789977126</v>
      </c>
      <c r="G13" s="88">
        <v>37.111138699447082</v>
      </c>
      <c r="M13" s="251"/>
      <c r="Q13" s="252"/>
    </row>
    <row r="14" spans="1:17">
      <c r="A14" s="228" t="s">
        <v>76</v>
      </c>
      <c r="B14" s="88">
        <v>80.815565280680801</v>
      </c>
      <c r="C14" s="88">
        <v>37.759276194010397</v>
      </c>
      <c r="D14" s="88">
        <v>12.938748854636357</v>
      </c>
      <c r="E14" s="88">
        <v>4.8357570420403446</v>
      </c>
      <c r="F14" s="88">
        <v>1.189960528072066</v>
      </c>
      <c r="G14" s="88">
        <v>17.989587281790538</v>
      </c>
      <c r="Q14" s="252"/>
    </row>
    <row r="15" spans="1:17">
      <c r="A15" s="228" t="s">
        <v>77</v>
      </c>
      <c r="B15" s="88">
        <v>70.455550623859537</v>
      </c>
      <c r="C15" s="88">
        <v>33.38652914236345</v>
      </c>
      <c r="D15" s="88">
        <v>14.432672756080306</v>
      </c>
      <c r="E15" s="88">
        <v>5.9759559509973901</v>
      </c>
      <c r="F15" s="88">
        <v>1.4181609651030613</v>
      </c>
      <c r="G15" s="88">
        <v>15.961035700130083</v>
      </c>
      <c r="Q15" s="252"/>
    </row>
    <row r="16" spans="1:17">
      <c r="A16" s="228" t="s">
        <v>55</v>
      </c>
      <c r="B16" s="88">
        <v>47.50226111053049</v>
      </c>
      <c r="C16" s="88">
        <v>20.101208818934701</v>
      </c>
      <c r="D16" s="88">
        <v>8.5513070506523547</v>
      </c>
      <c r="E16" s="88">
        <v>4.1178553742209312</v>
      </c>
      <c r="F16" s="88">
        <v>1.0765613586359719</v>
      </c>
      <c r="G16" s="88">
        <v>16.411938035229515</v>
      </c>
      <c r="Q16" s="252"/>
    </row>
    <row r="17" spans="1:17">
      <c r="A17" s="175"/>
      <c r="B17" s="88"/>
      <c r="C17" s="88"/>
      <c r="D17" s="88"/>
      <c r="E17" s="88"/>
      <c r="F17" s="88"/>
      <c r="G17" s="88"/>
      <c r="Q17" s="252"/>
    </row>
    <row r="18" spans="1:17">
      <c r="A18" s="229" t="s">
        <v>78</v>
      </c>
      <c r="B18" s="88"/>
      <c r="C18" s="88"/>
      <c r="D18" s="88"/>
      <c r="E18" s="88"/>
      <c r="F18" s="88"/>
      <c r="G18" s="88"/>
      <c r="Q18" s="252"/>
    </row>
    <row r="19" spans="1:17">
      <c r="A19" s="228" t="s">
        <v>84</v>
      </c>
      <c r="B19" s="88">
        <v>69.522872259578676</v>
      </c>
      <c r="C19" s="88">
        <v>25.502582683788244</v>
      </c>
      <c r="D19" s="88">
        <v>10.95488936533671</v>
      </c>
      <c r="E19" s="88">
        <v>4.5114650622417098</v>
      </c>
      <c r="F19" s="88">
        <v>1.0108110622058182</v>
      </c>
      <c r="G19" s="88">
        <v>8.3738757627349329</v>
      </c>
      <c r="M19" s="251"/>
      <c r="Q19" s="252"/>
    </row>
    <row r="20" spans="1:17">
      <c r="A20" s="228" t="s">
        <v>85</v>
      </c>
      <c r="B20" s="88">
        <v>84.518963077622587</v>
      </c>
      <c r="C20" s="88">
        <v>45.706709383632287</v>
      </c>
      <c r="D20" s="88">
        <v>20.165626637576921</v>
      </c>
      <c r="E20" s="88">
        <v>7.6021756390903832</v>
      </c>
      <c r="F20" s="88">
        <v>1.6602418233186329</v>
      </c>
      <c r="G20" s="88">
        <v>11.895711482474008</v>
      </c>
      <c r="Q20" s="252"/>
    </row>
    <row r="21" spans="1:17">
      <c r="A21" s="228" t="s">
        <v>79</v>
      </c>
      <c r="B21" s="88">
        <v>80.511196510048165</v>
      </c>
      <c r="C21" s="88">
        <v>40.503552034366855</v>
      </c>
      <c r="D21" s="88">
        <v>13.605399157865241</v>
      </c>
      <c r="E21" s="88">
        <v>5.730564964952781</v>
      </c>
      <c r="F21" s="88">
        <v>2.0495964155661088</v>
      </c>
      <c r="G21" s="88">
        <v>33.529464534529843</v>
      </c>
      <c r="Q21" s="252"/>
    </row>
    <row r="22" spans="1:17">
      <c r="A22" s="228" t="s">
        <v>80</v>
      </c>
      <c r="B22" s="88">
        <v>71.732871125223568</v>
      </c>
      <c r="C22" s="88">
        <v>29.99625466131825</v>
      </c>
      <c r="D22" s="88">
        <v>10.4281183687999</v>
      </c>
      <c r="E22" s="88">
        <v>3.9785713491642274</v>
      </c>
      <c r="F22" s="88">
        <v>1.2524860039174914</v>
      </c>
      <c r="G22" s="88">
        <v>17.418453287404148</v>
      </c>
      <c r="Q22" s="252"/>
    </row>
    <row r="23" spans="1:17">
      <c r="A23" s="228" t="s">
        <v>81</v>
      </c>
      <c r="B23" s="88">
        <v>60.667151652915685</v>
      </c>
      <c r="C23" s="88">
        <v>24.365041127011629</v>
      </c>
      <c r="D23" s="88">
        <v>9.4283910844420387</v>
      </c>
      <c r="E23" s="88">
        <v>4.3186330223324196</v>
      </c>
      <c r="F23" s="88">
        <v>1.2976616638851866</v>
      </c>
      <c r="G23" s="88">
        <v>26.188660006615127</v>
      </c>
      <c r="Q23" s="252"/>
    </row>
    <row r="24" spans="1:17">
      <c r="A24" s="228" t="s">
        <v>86</v>
      </c>
      <c r="B24" s="88">
        <v>84.701020091258755</v>
      </c>
      <c r="C24" s="88">
        <v>32.56713034894986</v>
      </c>
      <c r="D24" s="88">
        <v>10.130208915877848</v>
      </c>
      <c r="E24" s="88">
        <v>3.0106254768196545</v>
      </c>
      <c r="F24" s="88">
        <v>0.63190173925724669</v>
      </c>
      <c r="G24" s="88">
        <v>16.724040284791432</v>
      </c>
      <c r="Q24" s="252"/>
    </row>
    <row r="25" spans="1:17">
      <c r="A25" s="230"/>
      <c r="B25" s="88"/>
      <c r="C25" s="88"/>
      <c r="D25" s="88"/>
      <c r="E25" s="88"/>
      <c r="F25" s="88"/>
      <c r="G25" s="88"/>
      <c r="M25" s="251"/>
      <c r="Q25" s="252"/>
    </row>
    <row r="26" spans="1:17">
      <c r="A26" s="141" t="s">
        <v>54</v>
      </c>
      <c r="B26" s="88"/>
      <c r="C26" s="88"/>
      <c r="D26" s="88"/>
      <c r="E26" s="88"/>
      <c r="F26" s="88"/>
      <c r="G26" s="88"/>
      <c r="J26" s="231"/>
      <c r="K26" s="232"/>
      <c r="Q26" s="252"/>
    </row>
    <row r="27" spans="1:17">
      <c r="A27" s="141" t="s">
        <v>379</v>
      </c>
      <c r="B27" s="88">
        <v>65.102238560318852</v>
      </c>
      <c r="C27" s="88">
        <v>26.527627912816083</v>
      </c>
      <c r="D27" s="88">
        <v>10.919533855502225</v>
      </c>
      <c r="E27" s="88">
        <v>4.5095163084216479</v>
      </c>
      <c r="F27" s="88">
        <v>1.1265673263887133</v>
      </c>
      <c r="G27" s="88">
        <v>14.582924112040468</v>
      </c>
      <c r="Q27" s="252"/>
    </row>
    <row r="28" spans="1:17">
      <c r="A28" s="230" t="s">
        <v>51</v>
      </c>
      <c r="B28" s="88">
        <v>70.663759802101055</v>
      </c>
      <c r="C28" s="88">
        <v>33.014189120916427</v>
      </c>
      <c r="D28" s="88">
        <v>11.274459132490893</v>
      </c>
      <c r="E28" s="88">
        <v>4.6520405544913688</v>
      </c>
      <c r="F28" s="88">
        <v>1.3735549246570951</v>
      </c>
      <c r="G28" s="88">
        <v>27.00158306168457</v>
      </c>
      <c r="Q28" s="252"/>
    </row>
    <row r="29" spans="1:17">
      <c r="A29" s="230" t="s">
        <v>52</v>
      </c>
      <c r="B29" s="88">
        <v>73.498553179012021</v>
      </c>
      <c r="C29" s="88">
        <v>38.959620895472746</v>
      </c>
      <c r="D29" s="88">
        <v>15.494085456569461</v>
      </c>
      <c r="E29" s="88">
        <v>6.5048086421782374</v>
      </c>
      <c r="F29" s="88">
        <v>1.7700131123822378</v>
      </c>
      <c r="G29" s="88">
        <v>24.777061567227452</v>
      </c>
      <c r="Q29" s="252"/>
    </row>
    <row r="30" spans="1:17">
      <c r="A30" s="230" t="s">
        <v>50</v>
      </c>
      <c r="B30" s="88">
        <v>73.971275937225272</v>
      </c>
      <c r="C30" s="88">
        <v>40.634055386872618</v>
      </c>
      <c r="D30" s="88">
        <v>20.196272206517136</v>
      </c>
      <c r="E30" s="88">
        <v>10.251869764228344</v>
      </c>
      <c r="F30" s="88">
        <v>2.3495067287628491</v>
      </c>
      <c r="G30" s="88">
        <v>21.551369116584262</v>
      </c>
      <c r="Q30" s="252"/>
    </row>
    <row r="31" spans="1:17">
      <c r="A31" s="228"/>
      <c r="B31" s="88"/>
      <c r="C31" s="88"/>
      <c r="D31" s="88"/>
      <c r="E31" s="88"/>
      <c r="F31" s="88"/>
      <c r="G31" s="88"/>
      <c r="M31" s="140"/>
    </row>
    <row r="32" spans="1:17">
      <c r="A32" s="233" t="s">
        <v>345</v>
      </c>
      <c r="B32" s="88"/>
      <c r="C32" s="88"/>
      <c r="D32" s="88"/>
      <c r="E32" s="88"/>
      <c r="F32" s="88"/>
      <c r="G32" s="88"/>
      <c r="M32" s="140"/>
    </row>
    <row r="33" spans="1:7">
      <c r="A33" s="228" t="s">
        <v>346</v>
      </c>
      <c r="B33" s="88">
        <v>58.644232870385103</v>
      </c>
      <c r="C33" s="88">
        <v>26.237253805274534</v>
      </c>
      <c r="D33" s="88">
        <v>10.034108068196181</v>
      </c>
      <c r="E33" s="88">
        <v>4.665948651779118</v>
      </c>
      <c r="F33" s="88">
        <v>1.223436425164933</v>
      </c>
      <c r="G33" s="88">
        <v>27.579642794809661</v>
      </c>
    </row>
    <row r="34" spans="1:7">
      <c r="A34" s="228" t="s">
        <v>347</v>
      </c>
      <c r="B34" s="88">
        <v>64.757395748866159</v>
      </c>
      <c r="C34" s="88">
        <v>25.776938275461209</v>
      </c>
      <c r="D34" s="88">
        <v>9.6857272714936489</v>
      </c>
      <c r="E34" s="88">
        <v>3.5738553298969777</v>
      </c>
      <c r="F34" s="88">
        <v>1.0065511654012802</v>
      </c>
      <c r="G34" s="88">
        <v>19.483343289436426</v>
      </c>
    </row>
    <row r="35" spans="1:7">
      <c r="A35" s="228" t="s">
        <v>348</v>
      </c>
      <c r="B35" s="88">
        <v>75.074218386552872</v>
      </c>
      <c r="C35" s="88">
        <v>32.939530335980038</v>
      </c>
      <c r="D35" s="88">
        <v>12.388633986261063</v>
      </c>
      <c r="E35" s="88">
        <v>4.9086611183239395</v>
      </c>
      <c r="F35" s="88">
        <v>1.2092100604713603</v>
      </c>
      <c r="G35" s="88">
        <v>18.504286496907625</v>
      </c>
    </row>
    <row r="36" spans="1:7">
      <c r="A36" s="228" t="s">
        <v>349</v>
      </c>
      <c r="B36" s="88">
        <v>82.043989692404224</v>
      </c>
      <c r="C36" s="88">
        <v>40.702479420724757</v>
      </c>
      <c r="D36" s="88">
        <v>16.704953185707311</v>
      </c>
      <c r="E36" s="88">
        <v>6.7972249217558813</v>
      </c>
      <c r="F36" s="88">
        <v>1.4073196527545973</v>
      </c>
      <c r="G36" s="88">
        <v>11.1052405604966</v>
      </c>
    </row>
    <row r="37" spans="1:7">
      <c r="A37" s="175"/>
      <c r="B37" s="88"/>
      <c r="C37" s="88"/>
      <c r="D37" s="88"/>
      <c r="E37" s="88"/>
      <c r="F37" s="88"/>
      <c r="G37" s="88"/>
    </row>
    <row r="38" spans="1:7" ht="17.25" customHeight="1">
      <c r="A38" s="141" t="s">
        <v>101</v>
      </c>
      <c r="B38" s="88"/>
      <c r="C38" s="88"/>
      <c r="D38" s="88"/>
      <c r="E38" s="88"/>
      <c r="F38" s="88"/>
      <c r="G38" s="88"/>
    </row>
    <row r="39" spans="1:7">
      <c r="A39" s="230" t="s">
        <v>374</v>
      </c>
      <c r="B39" s="88">
        <v>74.607711494625761</v>
      </c>
      <c r="C39" s="88">
        <v>31.148478425657217</v>
      </c>
      <c r="D39" s="88">
        <v>11.664162429735446</v>
      </c>
      <c r="E39" s="88">
        <v>4.641794392951704</v>
      </c>
      <c r="F39" s="88">
        <v>1.1642852545872568</v>
      </c>
      <c r="G39" s="88">
        <v>9.7719641954515613</v>
      </c>
    </row>
    <row r="40" spans="1:7">
      <c r="A40" s="230" t="s">
        <v>375</v>
      </c>
      <c r="B40" s="88">
        <v>79.553348282376362</v>
      </c>
      <c r="C40" s="88">
        <v>37.478265006362911</v>
      </c>
      <c r="D40" s="88">
        <v>14.873768281004754</v>
      </c>
      <c r="E40" s="88">
        <v>6.3655014231853126</v>
      </c>
      <c r="F40" s="88">
        <v>1.6504488865417697</v>
      </c>
      <c r="G40" s="88">
        <v>22.328424451792632</v>
      </c>
    </row>
    <row r="41" spans="1:7">
      <c r="A41" s="230" t="s">
        <v>376</v>
      </c>
      <c r="B41" s="88">
        <v>82.615648083722107</v>
      </c>
      <c r="C41" s="88">
        <v>41.124225627649167</v>
      </c>
      <c r="D41" s="88">
        <v>16.963585413199702</v>
      </c>
      <c r="E41" s="88">
        <v>7.5935274475628773</v>
      </c>
      <c r="F41" s="88">
        <v>2.1271710455540229</v>
      </c>
      <c r="G41" s="88">
        <v>36.068538345092762</v>
      </c>
    </row>
    <row r="42" spans="1:7">
      <c r="A42" s="141" t="s">
        <v>405</v>
      </c>
      <c r="B42" s="88">
        <v>83.249961195875059</v>
      </c>
      <c r="C42" s="88">
        <v>48.713367026020563</v>
      </c>
      <c r="D42" s="88">
        <v>22.167196608373079</v>
      </c>
      <c r="E42" s="88">
        <v>9.6675150281786273</v>
      </c>
      <c r="F42" s="88">
        <v>4.0228497867889619</v>
      </c>
      <c r="G42" s="88">
        <v>48.66574677546685</v>
      </c>
    </row>
    <row r="43" spans="1:7">
      <c r="A43" s="232"/>
      <c r="B43" s="88"/>
      <c r="C43" s="88"/>
      <c r="D43" s="88"/>
      <c r="E43" s="88"/>
      <c r="F43" s="88"/>
      <c r="G43" s="88"/>
    </row>
    <row r="44" spans="1:7">
      <c r="A44" s="230" t="s">
        <v>65</v>
      </c>
      <c r="B44" s="88">
        <v>67.970663889557599</v>
      </c>
      <c r="C44" s="88">
        <v>30.029522791103151</v>
      </c>
      <c r="D44" s="88">
        <v>12.062115112951661</v>
      </c>
      <c r="E44" s="88">
        <v>5.0816649211082883</v>
      </c>
      <c r="F44" s="88">
        <v>1.2843161898748354</v>
      </c>
      <c r="G44" s="88">
        <v>17.650604230526245</v>
      </c>
    </row>
    <row r="45" spans="1:7" ht="60.75" customHeight="1">
      <c r="A45" s="266" t="s">
        <v>406</v>
      </c>
      <c r="B45" s="266"/>
      <c r="C45" s="266"/>
      <c r="D45" s="266"/>
      <c r="E45" s="266"/>
      <c r="F45" s="266"/>
      <c r="G45" s="266"/>
    </row>
    <row r="46" spans="1:7">
      <c r="A46" s="182" t="s">
        <v>377</v>
      </c>
      <c r="B46" s="182"/>
      <c r="C46" s="234"/>
      <c r="D46" s="234"/>
      <c r="E46" s="234"/>
      <c r="F46" s="234"/>
      <c r="G46" s="234"/>
    </row>
  </sheetData>
  <mergeCells count="2">
    <mergeCell ref="B5:G5"/>
    <mergeCell ref="A45:G45"/>
  </mergeCells>
  <pageMargins left="0.7" right="0.7" top="0.75" bottom="0.75" header="0.3" footer="0.3"/>
  <pageSetup scale="76"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J35"/>
  <sheetViews>
    <sheetView workbookViewId="0"/>
  </sheetViews>
  <sheetFormatPr defaultRowHeight="15"/>
  <cols>
    <col min="1" max="1" width="18.7109375" style="184" customWidth="1"/>
    <col min="2" max="2" width="20.28515625" style="184" customWidth="1"/>
    <col min="3" max="3" width="12.5703125" style="184" customWidth="1"/>
    <col min="4" max="7" width="9.140625" style="184"/>
    <col min="8" max="8" width="12.5703125" style="184" customWidth="1"/>
    <col min="9" max="9" width="9.140625" style="184"/>
    <col min="10" max="10" width="11.140625" style="184" customWidth="1"/>
    <col min="11" max="16384" width="9.140625" style="184"/>
  </cols>
  <sheetData>
    <row r="1" spans="1:10">
      <c r="A1" s="50" t="s">
        <v>471</v>
      </c>
      <c r="C1" s="51"/>
      <c r="D1" s="52"/>
      <c r="E1" s="51"/>
      <c r="F1" s="51"/>
      <c r="G1" s="52"/>
      <c r="H1" s="52"/>
      <c r="I1" s="52"/>
      <c r="J1" s="53"/>
    </row>
    <row r="2" spans="1:10">
      <c r="A2" s="115" t="s">
        <v>371</v>
      </c>
      <c r="C2" s="54"/>
      <c r="D2" s="55"/>
      <c r="E2" s="54"/>
      <c r="F2" s="54"/>
      <c r="G2" s="55"/>
      <c r="H2" s="55"/>
      <c r="I2" s="55"/>
      <c r="J2" s="55"/>
    </row>
    <row r="3" spans="1:10">
      <c r="A3" s="52"/>
      <c r="B3" s="217" t="s">
        <v>103</v>
      </c>
      <c r="C3" s="166" t="s">
        <v>404</v>
      </c>
      <c r="D3" s="159"/>
      <c r="E3" s="159"/>
      <c r="F3" s="159"/>
      <c r="G3" s="159"/>
      <c r="H3" s="159"/>
      <c r="I3" s="159"/>
      <c r="J3" s="160"/>
    </row>
    <row r="4" spans="1:10" ht="45.75">
      <c r="A4" s="57" t="s">
        <v>87</v>
      </c>
      <c r="B4" s="161" t="s">
        <v>403</v>
      </c>
      <c r="C4" s="161" t="s">
        <v>403</v>
      </c>
      <c r="D4" s="161" t="s">
        <v>88</v>
      </c>
      <c r="E4" s="161" t="s">
        <v>89</v>
      </c>
      <c r="F4" s="161" t="s">
        <v>90</v>
      </c>
      <c r="G4" s="161" t="s">
        <v>91</v>
      </c>
      <c r="H4" s="161" t="s">
        <v>92</v>
      </c>
      <c r="I4" s="161" t="s">
        <v>93</v>
      </c>
      <c r="J4" s="161" t="s">
        <v>82</v>
      </c>
    </row>
    <row r="5" spans="1:10">
      <c r="A5" s="57"/>
      <c r="B5" s="218"/>
      <c r="C5" s="58"/>
      <c r="D5" s="58"/>
      <c r="E5" s="58"/>
      <c r="F5" s="58"/>
      <c r="G5" s="58"/>
      <c r="H5" s="58"/>
      <c r="I5" s="58"/>
      <c r="J5" s="58"/>
    </row>
    <row r="6" spans="1:10">
      <c r="A6" s="59" t="s">
        <v>94</v>
      </c>
      <c r="B6" s="218"/>
      <c r="C6" s="58"/>
      <c r="D6" s="58"/>
      <c r="E6" s="58"/>
      <c r="F6" s="58"/>
      <c r="G6" s="58"/>
      <c r="H6" s="58"/>
      <c r="I6" s="58"/>
      <c r="J6" s="58"/>
    </row>
    <row r="7" spans="1:10">
      <c r="A7" s="60" t="s">
        <v>95</v>
      </c>
      <c r="B7" s="163">
        <v>245.38809389142841</v>
      </c>
      <c r="C7" s="164">
        <v>1138.6211209256551</v>
      </c>
      <c r="D7" s="164">
        <v>196.70848009161912</v>
      </c>
      <c r="E7" s="164">
        <v>465.92182708416027</v>
      </c>
      <c r="F7" s="164">
        <v>60.742448128618953</v>
      </c>
      <c r="G7" s="164">
        <v>50.934979317778954</v>
      </c>
      <c r="H7" s="164">
        <v>95.371676989585225</v>
      </c>
      <c r="I7" s="164">
        <v>62.34275273500122</v>
      </c>
      <c r="J7" s="164">
        <v>206.59895657889118</v>
      </c>
    </row>
    <row r="8" spans="1:10">
      <c r="A8" s="60" t="s">
        <v>96</v>
      </c>
      <c r="B8" s="163">
        <v>603.38707335177617</v>
      </c>
      <c r="C8" s="164">
        <v>906.56318305413686</v>
      </c>
      <c r="D8" s="164">
        <v>157.57855704033335</v>
      </c>
      <c r="E8" s="164">
        <v>387.31796090295705</v>
      </c>
      <c r="F8" s="164">
        <v>44.84912530447577</v>
      </c>
      <c r="G8" s="164">
        <v>22.59947196656147</v>
      </c>
      <c r="H8" s="164">
        <v>91.746612038717274</v>
      </c>
      <c r="I8" s="164">
        <v>53.631511018469837</v>
      </c>
      <c r="J8" s="164">
        <v>148.8399447826221</v>
      </c>
    </row>
    <row r="9" spans="1:10">
      <c r="A9" s="60" t="s">
        <v>97</v>
      </c>
      <c r="B9" s="163">
        <v>885.82817139471615</v>
      </c>
      <c r="C9" s="164">
        <v>619.24129950386566</v>
      </c>
      <c r="D9" s="164">
        <v>86.044397563526346</v>
      </c>
      <c r="E9" s="164">
        <v>289.20714261582049</v>
      </c>
      <c r="F9" s="164">
        <v>28.868316344399478</v>
      </c>
      <c r="G9" s="164">
        <v>19.254367302417691</v>
      </c>
      <c r="H9" s="164">
        <v>66.854878425814448</v>
      </c>
      <c r="I9" s="164">
        <v>37.280703973496124</v>
      </c>
      <c r="J9" s="164">
        <v>91.731493278390971</v>
      </c>
    </row>
    <row r="10" spans="1:10">
      <c r="A10" s="60" t="s">
        <v>83</v>
      </c>
      <c r="B10" s="163">
        <v>493.43616975572576</v>
      </c>
      <c r="C10" s="164">
        <v>959.29524135989959</v>
      </c>
      <c r="D10" s="164">
        <v>162.36459918789461</v>
      </c>
      <c r="E10" s="164">
        <v>405.03955292143172</v>
      </c>
      <c r="F10" s="164">
        <v>49.11825486079772</v>
      </c>
      <c r="G10" s="164">
        <v>34.682936563138739</v>
      </c>
      <c r="H10" s="164">
        <v>88.941670778868513</v>
      </c>
      <c r="I10" s="164">
        <v>54.621301216412029</v>
      </c>
      <c r="J10" s="164">
        <v>164.52692583135635</v>
      </c>
    </row>
    <row r="11" spans="1:10">
      <c r="A11" s="61"/>
      <c r="B11" s="219"/>
      <c r="C11" s="165"/>
      <c r="D11" s="165"/>
      <c r="E11" s="165"/>
      <c r="F11" s="165"/>
      <c r="G11" s="165"/>
      <c r="H11" s="165"/>
      <c r="I11" s="165"/>
      <c r="J11" s="165"/>
    </row>
    <row r="12" spans="1:10">
      <c r="A12" s="59" t="s">
        <v>98</v>
      </c>
      <c r="B12" s="219"/>
      <c r="C12" s="165"/>
      <c r="D12" s="165"/>
      <c r="E12" s="165"/>
      <c r="F12" s="165"/>
      <c r="G12" s="165"/>
      <c r="H12" s="165"/>
      <c r="I12" s="165"/>
      <c r="J12" s="165"/>
    </row>
    <row r="13" spans="1:10">
      <c r="A13" s="60" t="s">
        <v>95</v>
      </c>
      <c r="B13" s="163">
        <v>540.9764330236352</v>
      </c>
      <c r="C13" s="164">
        <v>2076.4958266377721</v>
      </c>
      <c r="D13" s="164">
        <v>455.96988448853193</v>
      </c>
      <c r="E13" s="164">
        <v>616.36790640099389</v>
      </c>
      <c r="F13" s="164">
        <v>82.397134430054976</v>
      </c>
      <c r="G13" s="164">
        <v>137.93026599555648</v>
      </c>
      <c r="H13" s="164">
        <v>258.9787149360821</v>
      </c>
      <c r="I13" s="164">
        <v>126.32121856080512</v>
      </c>
      <c r="J13" s="164">
        <v>398.53070182574749</v>
      </c>
    </row>
    <row r="14" spans="1:10">
      <c r="A14" s="60" t="s">
        <v>96</v>
      </c>
      <c r="B14" s="163">
        <v>979.21469287575553</v>
      </c>
      <c r="C14" s="164">
        <v>1572.9915090942579</v>
      </c>
      <c r="D14" s="164">
        <v>336.24793609765715</v>
      </c>
      <c r="E14" s="164">
        <v>509.1802755301008</v>
      </c>
      <c r="F14" s="164">
        <v>64.773925787320863</v>
      </c>
      <c r="G14" s="164">
        <v>81.266927877199279</v>
      </c>
      <c r="H14" s="164">
        <v>224.09744418972244</v>
      </c>
      <c r="I14" s="164">
        <v>92.656474792775342</v>
      </c>
      <c r="J14" s="164">
        <v>264.76852481948214</v>
      </c>
    </row>
    <row r="15" spans="1:10">
      <c r="A15" s="60" t="s">
        <v>97</v>
      </c>
      <c r="B15" s="163">
        <v>1410.8197446528693</v>
      </c>
      <c r="C15" s="164">
        <v>1051.4630952731932</v>
      </c>
      <c r="D15" s="164">
        <v>169.63885086572571</v>
      </c>
      <c r="E15" s="164">
        <v>424.18400764239163</v>
      </c>
      <c r="F15" s="164">
        <v>49.061525027995373</v>
      </c>
      <c r="G15" s="164">
        <v>36.019926628555105</v>
      </c>
      <c r="H15" s="164">
        <v>163.11641248570922</v>
      </c>
      <c r="I15" s="164">
        <v>57.832326527335823</v>
      </c>
      <c r="J15" s="164">
        <v>151.61004609548041</v>
      </c>
    </row>
    <row r="16" spans="1:10">
      <c r="A16" s="60" t="s">
        <v>83</v>
      </c>
      <c r="B16" s="163">
        <v>833.08917587228177</v>
      </c>
      <c r="C16" s="164">
        <v>1738.4852895883942</v>
      </c>
      <c r="D16" s="164">
        <v>371.62181342155532</v>
      </c>
      <c r="E16" s="164">
        <v>546.84085481643149</v>
      </c>
      <c r="F16" s="164">
        <v>70.803654084060753</v>
      </c>
      <c r="G16" s="164">
        <v>101.14631046553326</v>
      </c>
      <c r="H16" s="164">
        <v>233.24252910137969</v>
      </c>
      <c r="I16" s="164">
        <v>103.72580154148022</v>
      </c>
      <c r="J16" s="164">
        <v>311.10432615795349</v>
      </c>
    </row>
    <row r="17" spans="1:10">
      <c r="A17" s="61"/>
      <c r="B17" s="219"/>
      <c r="C17" s="165"/>
      <c r="D17" s="165"/>
      <c r="E17" s="165"/>
      <c r="F17" s="165"/>
      <c r="G17" s="165"/>
      <c r="H17" s="165"/>
      <c r="I17" s="165"/>
      <c r="J17" s="165"/>
    </row>
    <row r="18" spans="1:10">
      <c r="A18" s="59" t="s">
        <v>99</v>
      </c>
      <c r="B18" s="219"/>
      <c r="C18" s="165"/>
      <c r="D18" s="165"/>
      <c r="E18" s="165"/>
      <c r="F18" s="165"/>
      <c r="G18" s="165"/>
      <c r="H18" s="165"/>
      <c r="I18" s="165"/>
      <c r="J18" s="165"/>
    </row>
    <row r="19" spans="1:10">
      <c r="A19" s="60" t="s">
        <v>95</v>
      </c>
      <c r="B19" s="163">
        <v>836.45389672897227</v>
      </c>
      <c r="C19" s="164">
        <v>3232.706844866922</v>
      </c>
      <c r="D19" s="164">
        <v>724.14094948386537</v>
      </c>
      <c r="E19" s="164">
        <v>757.48558271688364</v>
      </c>
      <c r="F19" s="164">
        <v>118.42383790657034</v>
      </c>
      <c r="G19" s="164">
        <v>258.29197451505223</v>
      </c>
      <c r="H19" s="164">
        <v>488.34781435225113</v>
      </c>
      <c r="I19" s="164">
        <v>205.60212028511469</v>
      </c>
      <c r="J19" s="164">
        <v>680.41456560718427</v>
      </c>
    </row>
    <row r="20" spans="1:10">
      <c r="A20" s="60" t="s">
        <v>96</v>
      </c>
      <c r="B20" s="163">
        <v>1494.60706339233</v>
      </c>
      <c r="C20" s="164">
        <v>2488.6677933300839</v>
      </c>
      <c r="D20" s="164">
        <v>534.88479295254672</v>
      </c>
      <c r="E20" s="164">
        <v>675.23170484776324</v>
      </c>
      <c r="F20" s="164">
        <v>78.037105116686448</v>
      </c>
      <c r="G20" s="164">
        <v>166.58811244598283</v>
      </c>
      <c r="H20" s="164">
        <v>463.56728202483623</v>
      </c>
      <c r="I20" s="164">
        <v>145.52829870543903</v>
      </c>
      <c r="J20" s="164">
        <v>424.83049723682899</v>
      </c>
    </row>
    <row r="21" spans="1:10">
      <c r="A21" s="60" t="s">
        <v>97</v>
      </c>
      <c r="B21" s="163">
        <v>2291.2123078493219</v>
      </c>
      <c r="C21" s="164">
        <v>1663.3888702913537</v>
      </c>
      <c r="D21" s="164">
        <v>315.56423404833447</v>
      </c>
      <c r="E21" s="164">
        <v>533.73322329226187</v>
      </c>
      <c r="F21" s="164">
        <v>49.574149893167622</v>
      </c>
      <c r="G21" s="164">
        <v>86.498566339305214</v>
      </c>
      <c r="H21" s="164">
        <v>353.16938368029554</v>
      </c>
      <c r="I21" s="164">
        <v>110.11590822187895</v>
      </c>
      <c r="J21" s="164">
        <v>214.73340481610981</v>
      </c>
    </row>
    <row r="22" spans="1:10">
      <c r="A22" s="60" t="s">
        <v>83</v>
      </c>
      <c r="B22" s="163">
        <v>1220.702795971758</v>
      </c>
      <c r="C22" s="164">
        <v>2803.8334419242169</v>
      </c>
      <c r="D22" s="164">
        <v>614.36229738477016</v>
      </c>
      <c r="E22" s="164">
        <v>706.38898907449141</v>
      </c>
      <c r="F22" s="164">
        <v>96.341704863813661</v>
      </c>
      <c r="G22" s="164">
        <v>207.0180502238413</v>
      </c>
      <c r="H22" s="164">
        <v>467.98639037170778</v>
      </c>
      <c r="I22" s="164">
        <v>173.2633726498442</v>
      </c>
      <c r="J22" s="164">
        <v>538.47263735574813</v>
      </c>
    </row>
    <row r="23" spans="1:10">
      <c r="A23" s="61"/>
      <c r="B23" s="219"/>
      <c r="C23" s="165"/>
      <c r="D23" s="165"/>
      <c r="E23" s="165"/>
      <c r="F23" s="165"/>
      <c r="G23" s="165"/>
      <c r="H23" s="165"/>
      <c r="I23" s="165"/>
      <c r="J23" s="165"/>
    </row>
    <row r="24" spans="1:10">
      <c r="A24" s="59" t="s">
        <v>100</v>
      </c>
      <c r="B24" s="219"/>
      <c r="C24" s="165"/>
      <c r="D24" s="165"/>
      <c r="E24" s="165"/>
      <c r="F24" s="165"/>
      <c r="G24" s="165"/>
      <c r="H24" s="165"/>
      <c r="I24" s="165"/>
      <c r="J24" s="165"/>
    </row>
    <row r="25" spans="1:10">
      <c r="A25" s="60" t="s">
        <v>95</v>
      </c>
      <c r="B25" s="163">
        <v>1603.9977160112485</v>
      </c>
      <c r="C25" s="164">
        <v>6652.0102162209141</v>
      </c>
      <c r="D25" s="164">
        <v>1331.4732582986642</v>
      </c>
      <c r="E25" s="164">
        <v>1127.5825950577394</v>
      </c>
      <c r="F25" s="164">
        <v>258.18138479659495</v>
      </c>
      <c r="G25" s="164">
        <v>460.4662293948266</v>
      </c>
      <c r="H25" s="164">
        <v>1135.2599090986669</v>
      </c>
      <c r="I25" s="164">
        <v>513.51600630958194</v>
      </c>
      <c r="J25" s="164">
        <v>1825.5308332648394</v>
      </c>
    </row>
    <row r="26" spans="1:10">
      <c r="A26" s="60" t="s">
        <v>96</v>
      </c>
      <c r="B26" s="163">
        <v>2894.0788256490141</v>
      </c>
      <c r="C26" s="164">
        <v>4775.4704498078036</v>
      </c>
      <c r="D26" s="164">
        <v>892.19805202674331</v>
      </c>
      <c r="E26" s="164">
        <v>978.34175472200297</v>
      </c>
      <c r="F26" s="164">
        <v>176.18213732826345</v>
      </c>
      <c r="G26" s="164">
        <v>327.92432709000877</v>
      </c>
      <c r="H26" s="164">
        <v>962.09134510701017</v>
      </c>
      <c r="I26" s="164">
        <v>346.81392671058779</v>
      </c>
      <c r="J26" s="164">
        <v>1091.9189068231874</v>
      </c>
    </row>
    <row r="27" spans="1:10">
      <c r="A27" s="60" t="s">
        <v>97</v>
      </c>
      <c r="B27" s="163">
        <v>4276.3890683967029</v>
      </c>
      <c r="C27" s="164">
        <v>3152.4744338508212</v>
      </c>
      <c r="D27" s="164">
        <v>590.16023978249007</v>
      </c>
      <c r="E27" s="164">
        <v>753.51870927383754</v>
      </c>
      <c r="F27" s="164">
        <v>90.843767750710569</v>
      </c>
      <c r="G27" s="164">
        <v>254.23734256933889</v>
      </c>
      <c r="H27" s="164">
        <v>707.16832059992669</v>
      </c>
      <c r="I27" s="164">
        <v>211.80812336458868</v>
      </c>
      <c r="J27" s="164">
        <v>544.73793050992822</v>
      </c>
    </row>
    <row r="28" spans="1:10">
      <c r="A28" s="60" t="s">
        <v>83</v>
      </c>
      <c r="B28" s="163">
        <v>2221.4685944160074</v>
      </c>
      <c r="C28" s="164">
        <v>5781.0707483081342</v>
      </c>
      <c r="D28" s="164">
        <v>1133.0667534199208</v>
      </c>
      <c r="E28" s="164">
        <v>1051.5927482347927</v>
      </c>
      <c r="F28" s="164">
        <v>219.11131998020812</v>
      </c>
      <c r="G28" s="164">
        <v>401.82656011050227</v>
      </c>
      <c r="H28" s="164">
        <v>1047.5042103607909</v>
      </c>
      <c r="I28" s="164">
        <v>436.79044801131857</v>
      </c>
      <c r="J28" s="164">
        <v>1491.1787081906014</v>
      </c>
    </row>
    <row r="29" spans="1:10">
      <c r="A29" s="59"/>
      <c r="C29" s="61"/>
      <c r="D29" s="62"/>
      <c r="E29" s="62"/>
      <c r="F29" s="62"/>
      <c r="G29" s="62"/>
      <c r="H29" s="62"/>
      <c r="I29" s="62"/>
      <c r="J29" s="62"/>
    </row>
    <row r="30" spans="1:10">
      <c r="A30" s="220" t="s">
        <v>372</v>
      </c>
      <c r="C30" s="61"/>
      <c r="D30" s="62"/>
      <c r="E30" s="62"/>
      <c r="F30" s="62"/>
      <c r="G30" s="62"/>
      <c r="H30" s="62"/>
      <c r="I30" s="62"/>
      <c r="J30" s="62"/>
    </row>
    <row r="31" spans="1:10">
      <c r="A31" s="116"/>
      <c r="C31" s="56"/>
      <c r="D31" s="56"/>
      <c r="E31" s="56"/>
      <c r="F31" s="56"/>
      <c r="G31" s="56"/>
      <c r="H31" s="56"/>
      <c r="I31" s="56"/>
      <c r="J31" s="56"/>
    </row>
    <row r="32" spans="1:10">
      <c r="A32" s="220" t="s">
        <v>373</v>
      </c>
      <c r="C32" s="56"/>
      <c r="D32" s="56"/>
      <c r="E32" s="56"/>
      <c r="F32" s="56"/>
      <c r="G32" s="56"/>
      <c r="H32" s="56"/>
      <c r="I32" s="56"/>
      <c r="J32" s="56"/>
    </row>
    <row r="33" spans="1:10">
      <c r="A33" s="56"/>
      <c r="C33" s="56"/>
      <c r="D33" s="56"/>
      <c r="E33" s="56"/>
      <c r="F33" s="56"/>
      <c r="G33" s="56"/>
      <c r="H33" s="56"/>
      <c r="I33" s="56"/>
      <c r="J33" s="56"/>
    </row>
    <row r="34" spans="1:10">
      <c r="A34" s="221"/>
      <c r="C34" s="56"/>
      <c r="D34" s="56"/>
      <c r="E34" s="56"/>
      <c r="F34" s="56"/>
      <c r="G34" s="56"/>
      <c r="H34" s="56"/>
      <c r="I34" s="56"/>
      <c r="J34" s="56"/>
    </row>
    <row r="35" spans="1:10">
      <c r="C35" s="56"/>
      <c r="D35" s="56"/>
      <c r="E35" s="56"/>
      <c r="F35" s="56"/>
      <c r="G35" s="56"/>
      <c r="H35" s="56"/>
      <c r="I35" s="56"/>
      <c r="J35" s="56"/>
    </row>
  </sheetData>
  <pageMargins left="0.7" right="0.7" top="0.75" bottom="0.75" header="0.3" footer="0.3"/>
  <pageSetup scale="69"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AI28"/>
  <sheetViews>
    <sheetView zoomScale="85" zoomScaleNormal="85" workbookViewId="0">
      <selection activeCell="B3" sqref="B3"/>
    </sheetView>
  </sheetViews>
  <sheetFormatPr defaultColWidth="8.85546875" defaultRowHeight="15"/>
  <cols>
    <col min="1" max="1" width="8.85546875" style="184"/>
    <col min="2" max="4" width="14.140625" style="184" customWidth="1"/>
    <col min="5" max="5" width="12.5703125" style="184" customWidth="1"/>
    <col min="6" max="6" width="12.28515625" style="184" customWidth="1"/>
    <col min="7" max="7" width="13.5703125" style="184" customWidth="1"/>
    <col min="8" max="8" width="9.28515625" style="184" customWidth="1"/>
    <col min="9" max="9" width="10" style="184" customWidth="1"/>
    <col min="10" max="10" width="11.5703125" style="184" bestFit="1" customWidth="1"/>
    <col min="11" max="16384" width="8.85546875" style="184"/>
  </cols>
  <sheetData>
    <row r="1" spans="1:35">
      <c r="A1" s="206" t="s">
        <v>472</v>
      </c>
    </row>
    <row r="4" spans="1:35" ht="60">
      <c r="B4" s="207" t="s">
        <v>444</v>
      </c>
      <c r="C4" s="207" t="s">
        <v>443</v>
      </c>
      <c r="D4" s="207" t="s">
        <v>442</v>
      </c>
      <c r="E4" s="207" t="s">
        <v>446</v>
      </c>
      <c r="F4" s="207" t="s">
        <v>440</v>
      </c>
      <c r="G4" s="207" t="s">
        <v>445</v>
      </c>
      <c r="H4" s="207"/>
    </row>
    <row r="5" spans="1:35">
      <c r="A5" s="184">
        <v>1990</v>
      </c>
      <c r="B5" s="208">
        <v>108.075</v>
      </c>
      <c r="C5" s="209">
        <v>3.2344788470507106</v>
      </c>
      <c r="D5" s="210">
        <v>0.27548234974000424</v>
      </c>
      <c r="E5" s="211">
        <v>204.09982788341094</v>
      </c>
      <c r="F5" s="209">
        <v>1.4486079217501777</v>
      </c>
      <c r="G5" s="212">
        <f>'[5]Payment calc'!D5</f>
        <v>1183.0334058775547</v>
      </c>
      <c r="H5" s="213"/>
      <c r="J5" s="214"/>
      <c r="O5" s="215"/>
      <c r="P5" s="215"/>
      <c r="Q5" s="216"/>
      <c r="R5" s="215"/>
      <c r="S5" s="215"/>
      <c r="T5" s="215"/>
      <c r="U5" s="215"/>
      <c r="V5" s="215"/>
      <c r="W5" s="215"/>
      <c r="X5" s="215"/>
      <c r="Y5" s="215"/>
      <c r="Z5" s="215"/>
      <c r="AA5" s="215"/>
      <c r="AB5" s="215"/>
      <c r="AC5" s="215"/>
      <c r="AD5" s="215"/>
      <c r="AE5" s="215"/>
      <c r="AF5" s="215"/>
      <c r="AG5" s="215"/>
      <c r="AH5" s="215"/>
      <c r="AI5" s="215"/>
    </row>
    <row r="6" spans="1:35">
      <c r="A6" s="184">
        <v>1991</v>
      </c>
      <c r="B6" s="208">
        <v>111.2</v>
      </c>
      <c r="C6" s="209">
        <v>3.3866094920233438</v>
      </c>
      <c r="D6" s="210">
        <v>0.26746371886724329</v>
      </c>
      <c r="E6" s="211">
        <v>207.64099669098363</v>
      </c>
      <c r="F6" s="209">
        <v>1.3665691624390919</v>
      </c>
      <c r="G6" s="212">
        <f>'[5]Payment calc'!D6</f>
        <v>1108.9520402188075</v>
      </c>
      <c r="H6" s="213"/>
      <c r="J6" s="214"/>
      <c r="P6" s="215"/>
      <c r="Q6" s="216"/>
    </row>
    <row r="7" spans="1:35">
      <c r="A7" s="184">
        <v>1992</v>
      </c>
      <c r="B7" s="208">
        <v>122.375</v>
      </c>
      <c r="C7" s="209">
        <v>3.4289724786931428</v>
      </c>
      <c r="D7" s="210">
        <v>0.25055024158014211</v>
      </c>
      <c r="E7" s="211">
        <v>208.57143238151841</v>
      </c>
      <c r="F7" s="209">
        <v>1.2700019975522969</v>
      </c>
      <c r="G7" s="212">
        <f>'[5]Payment calc'!D7</f>
        <v>1025.5402879883482</v>
      </c>
      <c r="H7" s="213"/>
      <c r="J7" s="214"/>
      <c r="P7" s="215"/>
      <c r="Q7" s="216"/>
    </row>
    <row r="8" spans="1:35">
      <c r="A8" s="184">
        <v>1993</v>
      </c>
      <c r="B8" s="208">
        <v>131.61666666666667</v>
      </c>
      <c r="C8" s="209">
        <v>3.4649978639448502</v>
      </c>
      <c r="D8" s="210">
        <v>0.22827427345518836</v>
      </c>
      <c r="E8" s="211">
        <v>210.01571582483948</v>
      </c>
      <c r="F8" s="209">
        <v>1.1529873616695918</v>
      </c>
      <c r="G8" s="212">
        <f>'[5]Payment calc'!D8</f>
        <v>925.11893482741743</v>
      </c>
      <c r="H8" s="213"/>
      <c r="J8" s="214"/>
      <c r="P8" s="215"/>
      <c r="Q8" s="216"/>
    </row>
    <row r="9" spans="1:35">
      <c r="A9" s="184">
        <v>1994</v>
      </c>
      <c r="B9" s="208">
        <v>128.71666666666667</v>
      </c>
      <c r="C9" s="209">
        <v>3.493832107814963</v>
      </c>
      <c r="D9" s="210">
        <v>0.25505260914407524</v>
      </c>
      <c r="E9" s="211">
        <v>213.49178887494568</v>
      </c>
      <c r="F9" s="209">
        <v>1.2987563059482774</v>
      </c>
      <c r="G9" s="212">
        <f>'[5]Payment calc'!D9</f>
        <v>1040.8383688163813</v>
      </c>
      <c r="H9" s="213"/>
      <c r="J9" s="214"/>
      <c r="P9" s="215"/>
      <c r="Q9" s="216"/>
    </row>
    <row r="10" spans="1:35">
      <c r="A10" s="184">
        <v>1995</v>
      </c>
      <c r="B10" s="208">
        <v>126.3916675</v>
      </c>
      <c r="C10" s="209">
        <v>3.3997534921939199</v>
      </c>
      <c r="D10" s="210">
        <v>0.23789265011302121</v>
      </c>
      <c r="E10" s="211">
        <v>214.17168945709764</v>
      </c>
      <c r="F10" s="209">
        <v>1.2488618881024893</v>
      </c>
      <c r="G10" s="212">
        <f>'[5]Payment calc'!D10</f>
        <v>997.07581225660795</v>
      </c>
      <c r="H10" s="213"/>
      <c r="J10" s="214"/>
      <c r="P10" s="215"/>
      <c r="Q10" s="216"/>
    </row>
    <row r="11" spans="1:35">
      <c r="A11" s="184">
        <v>1996</v>
      </c>
      <c r="B11" s="208">
        <v>126.75833249999999</v>
      </c>
      <c r="C11" s="209">
        <v>3.4338725187048493</v>
      </c>
      <c r="D11" s="210">
        <v>0.23753482632864495</v>
      </c>
      <c r="E11" s="211">
        <v>219.50170076317696</v>
      </c>
      <c r="F11" s="209">
        <v>1.2653182397233345</v>
      </c>
      <c r="G11" s="212">
        <f>'[5]Payment calc'!D11</f>
        <v>1007.2060460125316</v>
      </c>
      <c r="H11" s="213"/>
      <c r="J11" s="214"/>
      <c r="P11" s="215"/>
      <c r="Q11" s="216"/>
    </row>
    <row r="12" spans="1:35">
      <c r="A12" s="184">
        <v>1997</v>
      </c>
      <c r="B12" s="208">
        <v>127.44999916666666</v>
      </c>
      <c r="C12" s="209">
        <v>3.4603432878012659</v>
      </c>
      <c r="D12" s="210">
        <v>0.23455305417976102</v>
      </c>
      <c r="E12" s="211">
        <v>224.09604214800348</v>
      </c>
      <c r="F12" s="209">
        <v>1.2658284343422597</v>
      </c>
      <c r="G12" s="212">
        <f>'[5]Payment calc'!D12</f>
        <v>1013.701234299307</v>
      </c>
      <c r="H12" s="213"/>
      <c r="J12" s="214"/>
      <c r="P12" s="215"/>
      <c r="Q12" s="216"/>
    </row>
    <row r="13" spans="1:35">
      <c r="A13" s="184">
        <v>1998</v>
      </c>
      <c r="B13" s="208">
        <v>134.29166833333332</v>
      </c>
      <c r="C13" s="209">
        <v>3.4711328275684719</v>
      </c>
      <c r="D13" s="210">
        <v>0.22035677737119599</v>
      </c>
      <c r="E13" s="211">
        <v>228.79143971119632</v>
      </c>
      <c r="F13" s="209">
        <v>1.2103576087241363</v>
      </c>
      <c r="G13" s="212">
        <f>'[5]Payment calc'!D13</f>
        <v>985.38154746788973</v>
      </c>
      <c r="H13" s="213"/>
      <c r="J13" s="214"/>
      <c r="P13" s="215"/>
      <c r="Q13" s="216"/>
    </row>
    <row r="14" spans="1:35">
      <c r="A14" s="184">
        <v>1999</v>
      </c>
      <c r="B14" s="208">
        <v>132.32500000000002</v>
      </c>
      <c r="C14" s="209">
        <v>3.4468987505676543</v>
      </c>
      <c r="D14" s="210">
        <v>0.23001368267012051</v>
      </c>
      <c r="E14" s="211">
        <v>230.53014007848472</v>
      </c>
      <c r="F14" s="209">
        <v>1.2819515532423302</v>
      </c>
      <c r="G14" s="212">
        <f>'[5]Payment calc'!D14</f>
        <v>1053.2074527959417</v>
      </c>
      <c r="H14" s="213"/>
      <c r="J14" s="214"/>
      <c r="P14" s="215"/>
      <c r="Q14" s="216"/>
    </row>
    <row r="15" spans="1:35">
      <c r="A15" s="184">
        <v>2000</v>
      </c>
      <c r="B15" s="208">
        <v>122.81666666666666</v>
      </c>
      <c r="C15" s="209">
        <v>3.4475446227093944</v>
      </c>
      <c r="D15" s="210">
        <v>0.24400446394296121</v>
      </c>
      <c r="E15" s="211">
        <v>231.53481547191799</v>
      </c>
      <c r="F15" s="209">
        <v>1.365598194176006</v>
      </c>
      <c r="G15" s="212">
        <f>'[5]Payment calc'!D15</f>
        <v>1124.8408974376246</v>
      </c>
      <c r="H15" s="213"/>
      <c r="J15" s="214"/>
      <c r="P15" s="215"/>
      <c r="Q15" s="216"/>
    </row>
    <row r="16" spans="1:35">
      <c r="A16" s="184">
        <v>2001</v>
      </c>
      <c r="B16" s="208">
        <v>130.00833416666666</v>
      </c>
      <c r="C16" s="209">
        <v>3.6180136120561253</v>
      </c>
      <c r="D16" s="210">
        <v>0.23037968295611713</v>
      </c>
      <c r="E16" s="211">
        <v>234.56699312160751</v>
      </c>
      <c r="F16" s="209">
        <v>1.2446855121286406</v>
      </c>
      <c r="G16" s="212">
        <f>'[5]Payment calc'!D16</f>
        <v>1041.2797350408441</v>
      </c>
      <c r="H16" s="213"/>
      <c r="J16" s="214"/>
      <c r="P16" s="215"/>
      <c r="Q16" s="216"/>
    </row>
    <row r="17" spans="1:17">
      <c r="A17" s="184">
        <v>2002</v>
      </c>
      <c r="B17" s="208">
        <v>127.84166666666665</v>
      </c>
      <c r="C17" s="209">
        <v>3.8605802773068261</v>
      </c>
      <c r="D17" s="210">
        <v>0.23523012895302742</v>
      </c>
      <c r="E17" s="211">
        <v>242.82549082775458</v>
      </c>
      <c r="F17" s="209">
        <v>1.232972494149295</v>
      </c>
      <c r="G17" s="212">
        <f>'[5]Payment calc'!D17</f>
        <v>1055.3318961927741</v>
      </c>
      <c r="H17" s="213"/>
      <c r="J17" s="214"/>
      <c r="P17" s="215"/>
      <c r="Q17" s="216"/>
    </row>
    <row r="18" spans="1:17">
      <c r="A18" s="184">
        <v>2003</v>
      </c>
      <c r="B18" s="208">
        <v>132.23333500000001</v>
      </c>
      <c r="C18" s="209">
        <v>4.0928287456797534</v>
      </c>
      <c r="D18" s="210">
        <v>0.23129322525039953</v>
      </c>
      <c r="E18" s="211">
        <v>253.05084182425745</v>
      </c>
      <c r="F18" s="209">
        <v>1.191697091725014</v>
      </c>
      <c r="G18" s="212">
        <f>'[5]Payment calc'!D18</f>
        <v>1026.493857810985</v>
      </c>
      <c r="H18" s="213"/>
      <c r="J18" s="214"/>
      <c r="P18" s="215"/>
      <c r="Q18" s="216"/>
    </row>
    <row r="19" spans="1:17">
      <c r="A19" s="184">
        <v>2004</v>
      </c>
      <c r="B19" s="208">
        <v>125.78333333333335</v>
      </c>
      <c r="C19" s="209">
        <v>4.3147434204637003</v>
      </c>
      <c r="D19" s="210">
        <v>0.24409825137835084</v>
      </c>
      <c r="E19" s="211">
        <v>266.48779455373415</v>
      </c>
      <c r="F19" s="209">
        <v>1.2563358992898692</v>
      </c>
      <c r="G19" s="212">
        <f>'[5]Payment calc'!D19</f>
        <v>1082.3513609805282</v>
      </c>
      <c r="H19" s="213"/>
      <c r="J19" s="214"/>
      <c r="P19" s="215"/>
      <c r="Q19" s="216"/>
    </row>
    <row r="20" spans="1:17">
      <c r="A20" s="184">
        <v>2005</v>
      </c>
      <c r="B20" s="208">
        <v>113.74166666666666</v>
      </c>
      <c r="C20" s="209">
        <v>4.7029758056090962</v>
      </c>
      <c r="D20" s="210">
        <v>0.26680638056052336</v>
      </c>
      <c r="E20" s="211">
        <v>291.85685523175778</v>
      </c>
      <c r="F20" s="209">
        <v>1.3797872241742775</v>
      </c>
      <c r="G20" s="212">
        <f>'[5]Payment calc'!D20</f>
        <v>1184.1700754856347</v>
      </c>
      <c r="H20" s="213"/>
      <c r="J20" s="214"/>
      <c r="P20" s="215"/>
      <c r="Q20" s="216"/>
    </row>
    <row r="21" spans="1:17">
      <c r="A21" s="184">
        <v>2006</v>
      </c>
      <c r="B21" s="208">
        <v>107.71666666666665</v>
      </c>
      <c r="C21" s="209">
        <v>4.5793687374134757</v>
      </c>
      <c r="D21" s="210">
        <v>0.2752724437241435</v>
      </c>
      <c r="E21" s="211">
        <v>287.50972115534205</v>
      </c>
      <c r="F21" s="209">
        <v>1.4402185846103466</v>
      </c>
      <c r="G21" s="212">
        <f>'[5]Payment calc'!D21</f>
        <v>1240.1050892985811</v>
      </c>
      <c r="H21" s="213"/>
      <c r="J21" s="214"/>
      <c r="P21" s="215"/>
      <c r="Q21" s="216"/>
    </row>
    <row r="22" spans="1:17">
      <c r="A22" s="184">
        <v>2007</v>
      </c>
      <c r="B22" s="208">
        <v>117.00833333333334</v>
      </c>
      <c r="C22" s="209">
        <v>4.247635051241625</v>
      </c>
      <c r="D22" s="210">
        <v>0.25353112931160088</v>
      </c>
      <c r="E22" s="211">
        <v>267.87219914335395</v>
      </c>
      <c r="F22" s="209">
        <v>1.3323873233911787</v>
      </c>
      <c r="G22" s="212">
        <f>'[5]Payment calc'!D22</f>
        <v>1162.9953665306246</v>
      </c>
      <c r="H22" s="213"/>
      <c r="J22" s="214"/>
      <c r="P22" s="215"/>
      <c r="Q22" s="216"/>
    </row>
    <row r="23" spans="1:17">
      <c r="A23" s="184">
        <v>2008</v>
      </c>
      <c r="B23" s="208">
        <v>139.03333333333336</v>
      </c>
      <c r="C23" s="209">
        <v>3.762805364740895</v>
      </c>
      <c r="D23" s="210">
        <v>0.21727244029964057</v>
      </c>
      <c r="E23" s="211">
        <v>234.73135188145167</v>
      </c>
      <c r="F23" s="209">
        <v>1.1294909137921114</v>
      </c>
      <c r="G23" s="212">
        <f>'[5]Payment calc'!D23</f>
        <v>984.20042335235621</v>
      </c>
      <c r="H23" s="213"/>
      <c r="J23" s="214"/>
      <c r="P23" s="215"/>
      <c r="Q23" s="216"/>
    </row>
    <row r="24" spans="1:17">
      <c r="A24" s="184">
        <v>2009</v>
      </c>
      <c r="B24" s="208">
        <v>172.34166416666665</v>
      </c>
      <c r="C24" s="209">
        <v>3.4348182407685326</v>
      </c>
      <c r="D24" s="210">
        <v>0.17781990599898964</v>
      </c>
      <c r="E24" s="211">
        <v>202.21901493440689</v>
      </c>
      <c r="F24" s="209">
        <v>0.87240342152716222</v>
      </c>
      <c r="G24" s="212">
        <f>'[5]Payment calc'!D24</f>
        <v>780.27380258173014</v>
      </c>
      <c r="H24" s="213"/>
      <c r="J24" s="214"/>
      <c r="P24" s="215"/>
      <c r="Q24" s="216"/>
    </row>
    <row r="25" spans="1:17">
      <c r="A25" s="184">
        <v>2010</v>
      </c>
      <c r="B25" s="208">
        <v>174.0999975</v>
      </c>
      <c r="C25" s="209">
        <v>3.4548217022268193</v>
      </c>
      <c r="D25" s="210">
        <v>0.17181362059854288</v>
      </c>
      <c r="E25" s="211">
        <v>202.22222222222223</v>
      </c>
      <c r="F25" s="209">
        <v>0.83806862698318085</v>
      </c>
      <c r="G25" s="212">
        <f>'[5]Payment calc'!D25</f>
        <v>739.16673995051315</v>
      </c>
      <c r="H25" s="213"/>
      <c r="J25" s="214"/>
      <c r="P25" s="215"/>
      <c r="Q25" s="216"/>
    </row>
    <row r="26" spans="1:17">
      <c r="A26" s="184">
        <v>2011</v>
      </c>
      <c r="B26" s="208">
        <v>186.09999749999997</v>
      </c>
      <c r="C26" s="209">
        <v>3.1995627151971395</v>
      </c>
      <c r="D26" s="210">
        <v>0.15472125746076043</v>
      </c>
      <c r="E26" s="211">
        <v>190.98275807853469</v>
      </c>
      <c r="F26" s="209">
        <v>0.76961278549315859</v>
      </c>
      <c r="G26" s="212">
        <f>'[5]Payment calc'!D26</f>
        <v>669.24075534739973</v>
      </c>
      <c r="H26" s="213"/>
      <c r="J26" s="214"/>
      <c r="P26" s="215"/>
      <c r="Q26" s="216"/>
    </row>
    <row r="27" spans="1:17" ht="78.75" customHeight="1">
      <c r="A27" s="267" t="s">
        <v>441</v>
      </c>
      <c r="B27" s="267"/>
      <c r="C27" s="267"/>
      <c r="D27" s="267"/>
      <c r="E27" s="267"/>
      <c r="F27" s="267"/>
      <c r="G27" s="267"/>
      <c r="H27" s="267"/>
      <c r="I27" s="267"/>
    </row>
    <row r="28" spans="1:17" ht="43.5" customHeight="1">
      <c r="A28" s="267" t="s">
        <v>447</v>
      </c>
      <c r="B28" s="267"/>
      <c r="C28" s="267"/>
      <c r="D28" s="267"/>
      <c r="E28" s="267"/>
      <c r="F28" s="267"/>
      <c r="G28" s="267"/>
      <c r="H28" s="267"/>
      <c r="I28" s="267"/>
    </row>
  </sheetData>
  <mergeCells count="2">
    <mergeCell ref="A27:I27"/>
    <mergeCell ref="A28:I28"/>
  </mergeCells>
  <pageMargins left="0.7" right="0.7" top="0.75" bottom="0.75" header="0.3" footer="0.3"/>
  <pageSetup scale="8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2:Q110"/>
  <sheetViews>
    <sheetView workbookViewId="0">
      <selection activeCell="A3" sqref="A3"/>
    </sheetView>
  </sheetViews>
  <sheetFormatPr defaultRowHeight="15"/>
  <cols>
    <col min="1" max="1" width="42.7109375" style="65" customWidth="1"/>
    <col min="2" max="4" width="10.140625" style="65" bestFit="1" customWidth="1"/>
    <col min="5" max="5" width="10" style="65" bestFit="1" customWidth="1"/>
    <col min="6" max="8" width="10.140625" style="65" bestFit="1" customWidth="1"/>
    <col min="9" max="9" width="9.85546875" style="65" bestFit="1" customWidth="1"/>
    <col min="10" max="16384" width="9.140625" style="65"/>
  </cols>
  <sheetData>
    <row r="2" spans="1:17">
      <c r="A2" s="1" t="s">
        <v>448</v>
      </c>
    </row>
    <row r="3" spans="1:17">
      <c r="B3" s="268">
        <v>2000</v>
      </c>
      <c r="C3" s="268"/>
      <c r="D3" s="268"/>
      <c r="E3" s="66"/>
      <c r="F3" s="269">
        <v>2010</v>
      </c>
      <c r="G3" s="269"/>
      <c r="H3" s="269"/>
      <c r="I3" s="67"/>
      <c r="J3" s="269" t="s">
        <v>193</v>
      </c>
      <c r="K3" s="269"/>
      <c r="L3" s="269"/>
      <c r="M3" s="67"/>
      <c r="N3" s="269" t="s">
        <v>194</v>
      </c>
      <c r="O3" s="269"/>
      <c r="P3" s="269"/>
    </row>
    <row r="4" spans="1:17">
      <c r="A4" s="68" t="s">
        <v>195</v>
      </c>
      <c r="B4" s="69" t="s">
        <v>196</v>
      </c>
      <c r="C4" s="69" t="s">
        <v>197</v>
      </c>
      <c r="D4" s="69" t="s">
        <v>198</v>
      </c>
      <c r="E4" s="70" t="s">
        <v>199</v>
      </c>
      <c r="F4" s="69" t="s">
        <v>196</v>
      </c>
      <c r="G4" s="69" t="s">
        <v>197</v>
      </c>
      <c r="H4" s="69" t="s">
        <v>198</v>
      </c>
      <c r="I4" s="70" t="s">
        <v>200</v>
      </c>
      <c r="J4" s="69" t="s">
        <v>201</v>
      </c>
      <c r="K4" s="69" t="s">
        <v>197</v>
      </c>
      <c r="L4" s="69" t="s">
        <v>198</v>
      </c>
      <c r="M4" s="70" t="s">
        <v>65</v>
      </c>
      <c r="N4" s="69" t="s">
        <v>201</v>
      </c>
      <c r="O4" s="69" t="s">
        <v>197</v>
      </c>
      <c r="P4" s="69" t="s">
        <v>198</v>
      </c>
    </row>
    <row r="5" spans="1:17">
      <c r="A5" s="71" t="s">
        <v>202</v>
      </c>
      <c r="B5" s="72">
        <v>89798.25142000003</v>
      </c>
      <c r="C5" s="72">
        <v>128189.01039999996</v>
      </c>
      <c r="D5" s="72">
        <v>56180.111059999981</v>
      </c>
      <c r="E5" s="73">
        <f>SUM(B5:D5)</f>
        <v>274167.37287999998</v>
      </c>
      <c r="F5" s="72">
        <v>83120.501779999977</v>
      </c>
      <c r="G5" s="72">
        <v>138604.25628999999</v>
      </c>
      <c r="H5" s="72">
        <v>63296.35848000001</v>
      </c>
      <c r="I5" s="74">
        <f>SUM(F5:H5)</f>
        <v>285021.11654999998</v>
      </c>
      <c r="J5" s="75">
        <f>(F5-B5)/B5</f>
        <v>-7.4363916160986324E-2</v>
      </c>
      <c r="K5" s="75">
        <f t="shared" ref="K5:M20" si="0">(G5-C5)/C5</f>
        <v>8.1249132491938159E-2</v>
      </c>
      <c r="L5" s="75">
        <f t="shared" si="0"/>
        <v>0.1266684469954131</v>
      </c>
      <c r="M5" s="76">
        <f t="shared" si="0"/>
        <v>3.9588020835544711E-2</v>
      </c>
      <c r="N5" s="75">
        <f>(F5-B5)/(I5-E5)</f>
        <v>-0.61524851176074025</v>
      </c>
      <c r="O5" s="75">
        <f>(G5-C5)/(I5-E5)</f>
        <v>0.95959939783616044</v>
      </c>
      <c r="P5" s="75">
        <f>(H5-D5)/(I5-E5)</f>
        <v>0.65564911392458114</v>
      </c>
      <c r="Q5" s="77"/>
    </row>
    <row r="6" spans="1:17">
      <c r="A6" s="78" t="s">
        <v>203</v>
      </c>
      <c r="B6" s="72">
        <v>40241.161790000013</v>
      </c>
      <c r="C6" s="72">
        <v>175671.63862000001</v>
      </c>
      <c r="D6" s="72">
        <v>112500.55800000003</v>
      </c>
      <c r="E6" s="73">
        <f t="shared" ref="E6:E69" si="1">SUM(B6:D6)</f>
        <v>328413.35841000004</v>
      </c>
      <c r="F6" s="72">
        <v>40607.847750000001</v>
      </c>
      <c r="G6" s="72">
        <v>187668.5209</v>
      </c>
      <c r="H6" s="72">
        <v>124997.03175000001</v>
      </c>
      <c r="I6" s="74">
        <f t="shared" ref="I6:I69" si="2">SUM(F6:H6)</f>
        <v>353273.40040000004</v>
      </c>
      <c r="J6" s="75">
        <f t="shared" ref="J6:M69" si="3">(F6-B6)/B6</f>
        <v>9.112211071677109E-3</v>
      </c>
      <c r="K6" s="75">
        <f t="shared" si="0"/>
        <v>6.8291514636296902E-2</v>
      </c>
      <c r="L6" s="75">
        <f t="shared" si="0"/>
        <v>0.11107921571375648</v>
      </c>
      <c r="M6" s="76">
        <f t="shared" si="0"/>
        <v>7.569741410751038E-2</v>
      </c>
      <c r="N6" s="75">
        <f t="shared" ref="N6:N69" si="4">(F6-B6)/(I6-E6)</f>
        <v>1.4750013702611128E-2</v>
      </c>
      <c r="O6" s="75">
        <f t="shared" ref="O6:O69" si="5">(G6-C6)/(I6-E6)</f>
        <v>0.48257691136747721</v>
      </c>
      <c r="P6" s="75">
        <f t="shared" ref="P6:P69" si="6">(H6-D6)/(I6-E6)</f>
        <v>0.50267307492990987</v>
      </c>
      <c r="Q6" s="77"/>
    </row>
    <row r="7" spans="1:17">
      <c r="A7" s="78" t="s">
        <v>204</v>
      </c>
      <c r="B7" s="72">
        <v>171798.06096</v>
      </c>
      <c r="C7" s="72">
        <v>49292.145629999992</v>
      </c>
      <c r="D7" s="72">
        <v>59960.788970000001</v>
      </c>
      <c r="E7" s="73">
        <f t="shared" si="1"/>
        <v>281050.99556000001</v>
      </c>
      <c r="F7" s="72">
        <v>204273.82836999992</v>
      </c>
      <c r="G7" s="72">
        <v>64249.315529999985</v>
      </c>
      <c r="H7" s="72">
        <v>78841.478090000019</v>
      </c>
      <c r="I7" s="74">
        <f t="shared" si="2"/>
        <v>347364.6219899999</v>
      </c>
      <c r="J7" s="75">
        <f t="shared" si="3"/>
        <v>0.18903453990415697</v>
      </c>
      <c r="K7" s="75">
        <f t="shared" si="0"/>
        <v>0.30343921346561997</v>
      </c>
      <c r="L7" s="75">
        <f t="shared" si="0"/>
        <v>0.31488393405641368</v>
      </c>
      <c r="M7" s="76">
        <f t="shared" si="0"/>
        <v>0.23594873342422643</v>
      </c>
      <c r="N7" s="75">
        <f t="shared" si="4"/>
        <v>0.48972992668831139</v>
      </c>
      <c r="O7" s="75">
        <f t="shared" si="5"/>
        <v>0.22555198237859389</v>
      </c>
      <c r="P7" s="75">
        <f t="shared" si="6"/>
        <v>0.28471809093309525</v>
      </c>
      <c r="Q7" s="77"/>
    </row>
    <row r="8" spans="1:17">
      <c r="A8" s="78" t="s">
        <v>205</v>
      </c>
      <c r="B8" s="72">
        <v>41684.756849999998</v>
      </c>
      <c r="C8" s="72">
        <v>149474.07196</v>
      </c>
      <c r="D8" s="72">
        <v>94634.160810000059</v>
      </c>
      <c r="E8" s="73">
        <f t="shared" si="1"/>
        <v>285792.98962000007</v>
      </c>
      <c r="F8" s="72">
        <v>42321.379979999998</v>
      </c>
      <c r="G8" s="72">
        <v>164467.43159999995</v>
      </c>
      <c r="H8" s="72">
        <v>108911.16826999994</v>
      </c>
      <c r="I8" s="74">
        <f t="shared" si="2"/>
        <v>315699.97984999989</v>
      </c>
      <c r="J8" s="75">
        <f t="shared" si="3"/>
        <v>1.5272324420431398E-2</v>
      </c>
      <c r="K8" s="75">
        <f t="shared" si="0"/>
        <v>0.10030742752503757</v>
      </c>
      <c r="L8" s="75">
        <f t="shared" si="0"/>
        <v>0.15086526194979705</v>
      </c>
      <c r="M8" s="76">
        <f t="shared" si="0"/>
        <v>0.104645639733029</v>
      </c>
      <c r="N8" s="75">
        <f t="shared" si="4"/>
        <v>2.1286766909810961E-2</v>
      </c>
      <c r="O8" s="75">
        <f t="shared" si="5"/>
        <v>0.50133295007934475</v>
      </c>
      <c r="P8" s="75">
        <f t="shared" si="6"/>
        <v>0.47738028301084451</v>
      </c>
      <c r="Q8" s="77"/>
    </row>
    <row r="9" spans="1:17">
      <c r="A9" s="78" t="s">
        <v>206</v>
      </c>
      <c r="B9" s="72">
        <v>166811.42977999995</v>
      </c>
      <c r="C9" s="72">
        <v>1002277.5347000002</v>
      </c>
      <c r="D9" s="72">
        <v>385066.36514999962</v>
      </c>
      <c r="E9" s="73">
        <f t="shared" si="1"/>
        <v>1554155.3296299996</v>
      </c>
      <c r="F9" s="72">
        <v>182629.12417999996</v>
      </c>
      <c r="G9" s="72">
        <v>1202331.2864300006</v>
      </c>
      <c r="H9" s="72">
        <v>552265.9715699997</v>
      </c>
      <c r="I9" s="74">
        <f t="shared" si="2"/>
        <v>1937226.3821800002</v>
      </c>
      <c r="J9" s="75">
        <f t="shared" si="3"/>
        <v>9.4823804465085218E-2</v>
      </c>
      <c r="K9" s="75">
        <f t="shared" si="0"/>
        <v>0.19959915772219725</v>
      </c>
      <c r="L9" s="75">
        <f t="shared" si="0"/>
        <v>0.43420984420404718</v>
      </c>
      <c r="M9" s="76">
        <f t="shared" si="0"/>
        <v>0.24648183180068559</v>
      </c>
      <c r="N9" s="75">
        <f t="shared" si="4"/>
        <v>4.1291802903680362E-2</v>
      </c>
      <c r="O9" s="75">
        <f t="shared" si="5"/>
        <v>0.52223667227867143</v>
      </c>
      <c r="P9" s="75">
        <f t="shared" si="6"/>
        <v>0.43647152481764789</v>
      </c>
      <c r="Q9" s="77"/>
    </row>
    <row r="10" spans="1:17">
      <c r="A10" s="78" t="s">
        <v>207</v>
      </c>
      <c r="B10" s="72">
        <v>71539.251739999992</v>
      </c>
      <c r="C10" s="72">
        <v>39826.881320000008</v>
      </c>
      <c r="D10" s="72">
        <v>71988.478340000016</v>
      </c>
      <c r="E10" s="73">
        <f t="shared" si="1"/>
        <v>183354.61139999999</v>
      </c>
      <c r="F10" s="72">
        <v>74577.602490000019</v>
      </c>
      <c r="G10" s="72">
        <v>48979.688579999995</v>
      </c>
      <c r="H10" s="72">
        <v>87356.442049999983</v>
      </c>
      <c r="I10" s="74">
        <f t="shared" si="2"/>
        <v>210913.73311999999</v>
      </c>
      <c r="J10" s="75">
        <f t="shared" si="3"/>
        <v>4.2471100495187084E-2</v>
      </c>
      <c r="K10" s="75">
        <f t="shared" si="0"/>
        <v>0.22981481242428312</v>
      </c>
      <c r="L10" s="75">
        <f t="shared" si="0"/>
        <v>0.21347810183481597</v>
      </c>
      <c r="M10" s="76">
        <f t="shared" si="0"/>
        <v>0.15030503737851447</v>
      </c>
      <c r="N10" s="75">
        <f t="shared" si="4"/>
        <v>0.11024846077714655</v>
      </c>
      <c r="O10" s="75">
        <f t="shared" si="5"/>
        <v>0.33211534652636193</v>
      </c>
      <c r="P10" s="75">
        <f t="shared" si="6"/>
        <v>0.55763619269649101</v>
      </c>
      <c r="Q10" s="77"/>
    </row>
    <row r="11" spans="1:17">
      <c r="A11" s="78" t="s">
        <v>208</v>
      </c>
      <c r="B11" s="72">
        <v>262775.01071</v>
      </c>
      <c r="C11" s="72">
        <v>62116.990740000001</v>
      </c>
      <c r="D11" s="72">
        <v>146969.23488</v>
      </c>
      <c r="E11" s="73">
        <f t="shared" si="1"/>
        <v>471861.23632999999</v>
      </c>
      <c r="F11" s="72">
        <v>306978.67035999993</v>
      </c>
      <c r="G11" s="72">
        <v>100017.06186999998</v>
      </c>
      <c r="H11" s="72">
        <v>243466.15933000002</v>
      </c>
      <c r="I11" s="74">
        <f t="shared" si="2"/>
        <v>650461.8915599999</v>
      </c>
      <c r="J11" s="75">
        <f t="shared" si="3"/>
        <v>0.16821865797118485</v>
      </c>
      <c r="K11" s="75">
        <f t="shared" si="0"/>
        <v>0.61014016742434318</v>
      </c>
      <c r="L11" s="75">
        <f t="shared" si="0"/>
        <v>0.656579076082076</v>
      </c>
      <c r="M11" s="76">
        <f t="shared" si="0"/>
        <v>0.37850249496886856</v>
      </c>
      <c r="N11" s="75">
        <f t="shared" si="4"/>
        <v>0.24749998589352851</v>
      </c>
      <c r="O11" s="75">
        <f t="shared" si="5"/>
        <v>0.21220566677760891</v>
      </c>
      <c r="P11" s="75">
        <f t="shared" si="6"/>
        <v>0.54029434732886261</v>
      </c>
      <c r="Q11" s="77"/>
    </row>
    <row r="12" spans="1:17">
      <c r="A12" s="78" t="s">
        <v>209</v>
      </c>
      <c r="B12" s="72">
        <v>83541.179809999958</v>
      </c>
      <c r="C12" s="72">
        <v>37717.80442</v>
      </c>
      <c r="D12" s="72">
        <v>87396.593980000005</v>
      </c>
      <c r="E12" s="73">
        <f t="shared" si="1"/>
        <v>208655.57820999995</v>
      </c>
      <c r="F12" s="72">
        <v>99482.636799999978</v>
      </c>
      <c r="G12" s="72">
        <v>43369.286600000007</v>
      </c>
      <c r="H12" s="72">
        <v>111755.86056999999</v>
      </c>
      <c r="I12" s="74">
        <f t="shared" si="2"/>
        <v>254607.78396999996</v>
      </c>
      <c r="J12" s="75">
        <f t="shared" si="3"/>
        <v>0.19082154485076847</v>
      </c>
      <c r="K12" s="75">
        <f t="shared" si="0"/>
        <v>0.14983592674347948</v>
      </c>
      <c r="L12" s="75">
        <f t="shared" si="0"/>
        <v>0.27872100594188376</v>
      </c>
      <c r="M12" s="76">
        <f t="shared" si="0"/>
        <v>0.22022994139055194</v>
      </c>
      <c r="N12" s="75">
        <f t="shared" si="4"/>
        <v>0.34691385813467457</v>
      </c>
      <c r="O12" s="75">
        <f t="shared" si="5"/>
        <v>0.1229860914515544</v>
      </c>
      <c r="P12" s="75">
        <f t="shared" si="6"/>
        <v>0.53010005041377106</v>
      </c>
      <c r="Q12" s="77"/>
    </row>
    <row r="13" spans="1:17">
      <c r="A13" s="78" t="s">
        <v>210</v>
      </c>
      <c r="B13" s="72">
        <v>252451.1281400001</v>
      </c>
      <c r="C13" s="72">
        <v>539105.23521000007</v>
      </c>
      <c r="D13" s="72">
        <v>132478.51446999997</v>
      </c>
      <c r="E13" s="73">
        <f t="shared" si="1"/>
        <v>924034.87782000017</v>
      </c>
      <c r="F13" s="72">
        <v>243310.18786000001</v>
      </c>
      <c r="G13" s="72">
        <v>594458.58261000016</v>
      </c>
      <c r="H13" s="72">
        <v>159621.48963</v>
      </c>
      <c r="I13" s="74">
        <f t="shared" si="2"/>
        <v>997390.26010000007</v>
      </c>
      <c r="J13" s="75">
        <f t="shared" si="3"/>
        <v>-3.6208751956659381E-2</v>
      </c>
      <c r="K13" s="75">
        <f t="shared" si="0"/>
        <v>0.10267633067677047</v>
      </c>
      <c r="L13" s="75">
        <f t="shared" si="0"/>
        <v>0.20488586597298095</v>
      </c>
      <c r="M13" s="76">
        <f t="shared" si="0"/>
        <v>7.9385945315247466E-2</v>
      </c>
      <c r="N13" s="75">
        <f t="shared" si="4"/>
        <v>-0.12461171894802249</v>
      </c>
      <c r="O13" s="75">
        <f t="shared" si="5"/>
        <v>0.75459149253308422</v>
      </c>
      <c r="P13" s="75">
        <f t="shared" si="6"/>
        <v>0.37002022641493987</v>
      </c>
      <c r="Q13" s="77"/>
    </row>
    <row r="14" spans="1:17">
      <c r="A14" s="78" t="s">
        <v>211</v>
      </c>
      <c r="B14" s="72">
        <v>82810.296520000033</v>
      </c>
      <c r="C14" s="72">
        <v>66547.170100000003</v>
      </c>
      <c r="D14" s="72">
        <v>103180.34966999998</v>
      </c>
      <c r="E14" s="73">
        <f t="shared" si="1"/>
        <v>252537.81628999999</v>
      </c>
      <c r="F14" s="72">
        <v>86393.473899999983</v>
      </c>
      <c r="G14" s="72">
        <v>85603.184299999979</v>
      </c>
      <c r="H14" s="72">
        <v>123395.63430000001</v>
      </c>
      <c r="I14" s="74">
        <f t="shared" si="2"/>
        <v>295392.29249999998</v>
      </c>
      <c r="J14" s="75">
        <f t="shared" si="3"/>
        <v>4.3269708364521486E-2</v>
      </c>
      <c r="K14" s="75">
        <f t="shared" si="0"/>
        <v>0.28635348687802392</v>
      </c>
      <c r="L14" s="75">
        <f t="shared" si="0"/>
        <v>0.19592184650133709</v>
      </c>
      <c r="M14" s="76">
        <f t="shared" si="0"/>
        <v>0.1696952830256058</v>
      </c>
      <c r="N14" s="75">
        <f t="shared" si="4"/>
        <v>8.3612674728336167E-2</v>
      </c>
      <c r="O14" s="75">
        <f t="shared" si="5"/>
        <v>0.44466799936183327</v>
      </c>
      <c r="P14" s="75">
        <f t="shared" si="6"/>
        <v>0.47171932590982957</v>
      </c>
      <c r="Q14" s="77"/>
    </row>
    <row r="15" spans="1:17">
      <c r="A15" s="78" t="s">
        <v>212</v>
      </c>
      <c r="B15" s="72">
        <v>101360.02444999998</v>
      </c>
      <c r="C15" s="72">
        <v>136319.68145</v>
      </c>
      <c r="D15" s="72">
        <v>174696.81255999999</v>
      </c>
      <c r="E15" s="73">
        <f t="shared" si="1"/>
        <v>412376.51845999999</v>
      </c>
      <c r="F15" s="72">
        <v>91798.887560000047</v>
      </c>
      <c r="G15" s="72">
        <v>146569.32075000007</v>
      </c>
      <c r="H15" s="72">
        <v>203555.77843999994</v>
      </c>
      <c r="I15" s="74">
        <f t="shared" si="2"/>
        <v>441923.98675000004</v>
      </c>
      <c r="J15" s="75">
        <f t="shared" si="3"/>
        <v>-9.4328478528696108E-2</v>
      </c>
      <c r="K15" s="75">
        <f t="shared" si="0"/>
        <v>7.5188257417983184E-2</v>
      </c>
      <c r="L15" s="75">
        <f t="shared" si="0"/>
        <v>0.16519457600343035</v>
      </c>
      <c r="M15" s="76">
        <f t="shared" si="0"/>
        <v>7.1651675028305759E-2</v>
      </c>
      <c r="N15" s="75">
        <f t="shared" si="4"/>
        <v>-0.32358565533128186</v>
      </c>
      <c r="O15" s="75">
        <f t="shared" si="5"/>
        <v>0.34688722564663599</v>
      </c>
      <c r="P15" s="75">
        <f t="shared" si="6"/>
        <v>0.97669842968464693</v>
      </c>
      <c r="Q15" s="77"/>
    </row>
    <row r="16" spans="1:17">
      <c r="A16" s="78" t="s">
        <v>213</v>
      </c>
      <c r="B16" s="72">
        <v>66512.297370000015</v>
      </c>
      <c r="C16" s="72">
        <v>48068.113359999996</v>
      </c>
      <c r="D16" s="72">
        <v>55710.326720000012</v>
      </c>
      <c r="E16" s="73">
        <f t="shared" si="1"/>
        <v>170290.73745000002</v>
      </c>
      <c r="F16" s="72">
        <v>74180.012160000013</v>
      </c>
      <c r="G16" s="72">
        <v>65339.778079999996</v>
      </c>
      <c r="H16" s="72">
        <v>86074.096140000009</v>
      </c>
      <c r="I16" s="74">
        <f t="shared" si="2"/>
        <v>225593.88638000001</v>
      </c>
      <c r="J16" s="75">
        <f t="shared" si="3"/>
        <v>0.11528266340501533</v>
      </c>
      <c r="K16" s="75">
        <f t="shared" si="0"/>
        <v>0.35931646808448825</v>
      </c>
      <c r="L16" s="75">
        <f t="shared" si="0"/>
        <v>0.54502946235817717</v>
      </c>
      <c r="M16" s="76">
        <f t="shared" si="0"/>
        <v>0.32475723435185577</v>
      </c>
      <c r="N16" s="75">
        <f t="shared" si="4"/>
        <v>0.13864879194682772</v>
      </c>
      <c r="O16" s="75">
        <f t="shared" si="5"/>
        <v>0.31230888392741657</v>
      </c>
      <c r="P16" s="75">
        <f t="shared" si="6"/>
        <v>0.54904232412575571</v>
      </c>
      <c r="Q16" s="77"/>
    </row>
    <row r="17" spans="1:17">
      <c r="A17" s="78" t="s">
        <v>214</v>
      </c>
      <c r="B17" s="72">
        <v>306447.14367000014</v>
      </c>
      <c r="C17" s="72">
        <v>1083017.9121800002</v>
      </c>
      <c r="D17" s="72">
        <v>200490.10008999996</v>
      </c>
      <c r="E17" s="73">
        <f t="shared" si="1"/>
        <v>1589955.1559400004</v>
      </c>
      <c r="F17" s="72">
        <v>326276.50788000011</v>
      </c>
      <c r="G17" s="72">
        <v>1139785.4594999994</v>
      </c>
      <c r="H17" s="72">
        <v>222139.81431999995</v>
      </c>
      <c r="I17" s="74">
        <f t="shared" si="2"/>
        <v>1688201.7816999995</v>
      </c>
      <c r="J17" s="75">
        <f t="shared" si="3"/>
        <v>6.4707290048535634E-2</v>
      </c>
      <c r="K17" s="75">
        <f t="shared" si="0"/>
        <v>5.2416074269475511E-2</v>
      </c>
      <c r="L17" s="75">
        <f t="shared" si="0"/>
        <v>0.10798395641620924</v>
      </c>
      <c r="M17" s="76">
        <f t="shared" si="0"/>
        <v>6.1792073438646428E-2</v>
      </c>
      <c r="N17" s="75">
        <f t="shared" si="4"/>
        <v>0.20183252154063763</v>
      </c>
      <c r="O17" s="75">
        <f t="shared" si="5"/>
        <v>0.57780658501873983</v>
      </c>
      <c r="P17" s="75">
        <f t="shared" si="6"/>
        <v>0.22036089344062371</v>
      </c>
      <c r="Q17" s="77"/>
    </row>
    <row r="18" spans="1:17">
      <c r="A18" s="78" t="s">
        <v>215</v>
      </c>
      <c r="B18" s="72">
        <v>90209.15141000002</v>
      </c>
      <c r="C18" s="72">
        <v>193466.14218999998</v>
      </c>
      <c r="D18" s="72">
        <v>24160.010730000005</v>
      </c>
      <c r="E18" s="73">
        <f t="shared" si="1"/>
        <v>307835.30432999996</v>
      </c>
      <c r="F18" s="72">
        <v>93258.484309999985</v>
      </c>
      <c r="G18" s="72">
        <v>201736.95163000011</v>
      </c>
      <c r="H18" s="72">
        <v>26381.090539999997</v>
      </c>
      <c r="I18" s="74">
        <f t="shared" si="2"/>
        <v>321376.52648000012</v>
      </c>
      <c r="J18" s="75">
        <f t="shared" si="3"/>
        <v>3.3802921902466039E-2</v>
      </c>
      <c r="K18" s="75">
        <f t="shared" si="0"/>
        <v>4.2750681573406779E-2</v>
      </c>
      <c r="L18" s="75">
        <f t="shared" si="0"/>
        <v>9.1932070511956746E-2</v>
      </c>
      <c r="M18" s="76">
        <f t="shared" si="0"/>
        <v>4.398852879942565E-2</v>
      </c>
      <c r="N18" s="75">
        <f t="shared" si="4"/>
        <v>0.22518889847767015</v>
      </c>
      <c r="O18" s="75">
        <f t="shared" si="5"/>
        <v>0.61078751595549519</v>
      </c>
      <c r="P18" s="75">
        <f t="shared" si="6"/>
        <v>0.16402358556682903</v>
      </c>
      <c r="Q18" s="77"/>
    </row>
    <row r="19" spans="1:17">
      <c r="A19" s="78" t="s">
        <v>216</v>
      </c>
      <c r="B19" s="72">
        <v>118452.89053</v>
      </c>
      <c r="C19" s="72">
        <v>246119.66716000001</v>
      </c>
      <c r="D19" s="72">
        <v>92897.337549999997</v>
      </c>
      <c r="E19" s="73">
        <f t="shared" si="1"/>
        <v>457469.89524000004</v>
      </c>
      <c r="F19" s="72">
        <v>109596.32098999996</v>
      </c>
      <c r="G19" s="72">
        <v>256080.1013199999</v>
      </c>
      <c r="H19" s="72">
        <v>97380.332830000014</v>
      </c>
      <c r="I19" s="74">
        <f t="shared" si="2"/>
        <v>463056.75513999991</v>
      </c>
      <c r="J19" s="75">
        <f t="shared" si="3"/>
        <v>-7.4768707630287659E-2</v>
      </c>
      <c r="K19" s="75">
        <f t="shared" si="0"/>
        <v>4.04698831057849E-2</v>
      </c>
      <c r="L19" s="75">
        <f t="shared" si="0"/>
        <v>4.8257521671028959E-2</v>
      </c>
      <c r="M19" s="76">
        <f t="shared" si="0"/>
        <v>1.2212519245815859E-2</v>
      </c>
      <c r="N19" s="75">
        <f t="shared" si="4"/>
        <v>-1.5852499791520196</v>
      </c>
      <c r="O19" s="75">
        <f t="shared" si="5"/>
        <v>1.7828322775733341</v>
      </c>
      <c r="P19" s="75">
        <f t="shared" si="6"/>
        <v>0.80241770157868575</v>
      </c>
      <c r="Q19" s="77"/>
    </row>
    <row r="20" spans="1:17">
      <c r="A20" s="78" t="s">
        <v>217</v>
      </c>
      <c r="B20" s="72">
        <v>34548.620450000002</v>
      </c>
      <c r="C20" s="72">
        <v>85665.13278</v>
      </c>
      <c r="D20" s="72">
        <v>37754.115559999998</v>
      </c>
      <c r="E20" s="73">
        <f t="shared" si="1"/>
        <v>157967.86879000001</v>
      </c>
      <c r="F20" s="72">
        <v>50304.959339999994</v>
      </c>
      <c r="G20" s="72">
        <v>105154.16045</v>
      </c>
      <c r="H20" s="72">
        <v>74285.775539999973</v>
      </c>
      <c r="I20" s="74">
        <f t="shared" si="2"/>
        <v>229744.89532999997</v>
      </c>
      <c r="J20" s="75">
        <f t="shared" si="3"/>
        <v>0.45606275112498712</v>
      </c>
      <c r="K20" s="75">
        <f t="shared" si="0"/>
        <v>0.22750245096859342</v>
      </c>
      <c r="L20" s="75">
        <f t="shared" si="0"/>
        <v>0.96762060077775469</v>
      </c>
      <c r="M20" s="76">
        <f t="shared" si="0"/>
        <v>0.45437738123452948</v>
      </c>
      <c r="N20" s="75">
        <f t="shared" si="4"/>
        <v>0.21951785480023034</v>
      </c>
      <c r="O20" s="75">
        <f t="shared" si="5"/>
        <v>0.27152180313765345</v>
      </c>
      <c r="P20" s="75">
        <f t="shared" si="6"/>
        <v>0.50896034206211627</v>
      </c>
      <c r="Q20" s="77"/>
    </row>
    <row r="21" spans="1:17">
      <c r="A21" s="78" t="s">
        <v>218</v>
      </c>
      <c r="B21" s="72">
        <v>34891.878679999994</v>
      </c>
      <c r="C21" s="72">
        <v>90196.597809999992</v>
      </c>
      <c r="D21" s="72">
        <v>62361.358610000018</v>
      </c>
      <c r="E21" s="73">
        <f t="shared" si="1"/>
        <v>187449.8351</v>
      </c>
      <c r="F21" s="72">
        <v>39984.956700000002</v>
      </c>
      <c r="G21" s="72">
        <v>117255.85369999996</v>
      </c>
      <c r="H21" s="72">
        <v>84737.828620000029</v>
      </c>
      <c r="I21" s="74">
        <f t="shared" si="2"/>
        <v>241978.63902</v>
      </c>
      <c r="J21" s="75">
        <f t="shared" si="3"/>
        <v>0.14596743462023321</v>
      </c>
      <c r="K21" s="75">
        <f t="shared" si="3"/>
        <v>0.30000306604690963</v>
      </c>
      <c r="L21" s="75">
        <f t="shared" si="3"/>
        <v>0.35881947585426421</v>
      </c>
      <c r="M21" s="76">
        <f t="shared" si="3"/>
        <v>0.29089811623952722</v>
      </c>
      <c r="N21" s="75">
        <f t="shared" si="4"/>
        <v>9.3401608945469186E-2</v>
      </c>
      <c r="O21" s="75">
        <f t="shared" si="5"/>
        <v>0.49623784027427037</v>
      </c>
      <c r="P21" s="75">
        <f t="shared" si="6"/>
        <v>0.41036055078026018</v>
      </c>
      <c r="Q21" s="77"/>
    </row>
    <row r="22" spans="1:17">
      <c r="A22" s="78" t="s">
        <v>219</v>
      </c>
      <c r="B22" s="72">
        <v>202554.98671</v>
      </c>
      <c r="C22" s="72">
        <v>151569.13963999995</v>
      </c>
      <c r="D22" s="72">
        <v>156470.51322000002</v>
      </c>
      <c r="E22" s="73">
        <f t="shared" si="1"/>
        <v>510594.63956999994</v>
      </c>
      <c r="F22" s="72">
        <v>238955.09398000003</v>
      </c>
      <c r="G22" s="72">
        <v>213721.91776999983</v>
      </c>
      <c r="H22" s="72">
        <v>218546.21710000004</v>
      </c>
      <c r="I22" s="74">
        <f t="shared" si="2"/>
        <v>671223.22884999984</v>
      </c>
      <c r="J22" s="75">
        <f t="shared" si="3"/>
        <v>0.17970481922577614</v>
      </c>
      <c r="K22" s="75">
        <f t="shared" si="3"/>
        <v>0.41006222162125017</v>
      </c>
      <c r="L22" s="75">
        <f t="shared" si="3"/>
        <v>0.39672461349136495</v>
      </c>
      <c r="M22" s="76">
        <f t="shared" si="3"/>
        <v>0.31459121743869883</v>
      </c>
      <c r="N22" s="75">
        <f t="shared" si="4"/>
        <v>0.22661039005048567</v>
      </c>
      <c r="O22" s="75">
        <f t="shared" si="5"/>
        <v>0.38693471945805485</v>
      </c>
      <c r="P22" s="75">
        <f t="shared" si="6"/>
        <v>0.3864548904914597</v>
      </c>
      <c r="Q22" s="77"/>
    </row>
    <row r="23" spans="1:17">
      <c r="A23" s="78" t="s">
        <v>220</v>
      </c>
      <c r="B23" s="72">
        <v>64634.940519999996</v>
      </c>
      <c r="C23" s="72">
        <v>57309.755669999991</v>
      </c>
      <c r="D23" s="72">
        <v>67662.190160000013</v>
      </c>
      <c r="E23" s="73">
        <f t="shared" si="1"/>
        <v>189606.88634999999</v>
      </c>
      <c r="F23" s="72">
        <v>69580.444600000003</v>
      </c>
      <c r="G23" s="72">
        <v>65307.581869999987</v>
      </c>
      <c r="H23" s="72">
        <v>75977.47034</v>
      </c>
      <c r="I23" s="74">
        <f t="shared" si="2"/>
        <v>210865.49680999998</v>
      </c>
      <c r="J23" s="75">
        <f t="shared" si="3"/>
        <v>7.6514405988657455E-2</v>
      </c>
      <c r="K23" s="75">
        <f t="shared" si="3"/>
        <v>0.13955435870382935</v>
      </c>
      <c r="L23" s="75">
        <f t="shared" si="3"/>
        <v>0.12289404407893002</v>
      </c>
      <c r="M23" s="76">
        <f t="shared" si="3"/>
        <v>0.11211940066753803</v>
      </c>
      <c r="N23" s="75">
        <f t="shared" si="4"/>
        <v>0.23263534036269307</v>
      </c>
      <c r="O23" s="75">
        <f t="shared" si="5"/>
        <v>0.37621584981053352</v>
      </c>
      <c r="P23" s="75">
        <f t="shared" si="6"/>
        <v>0.39114880982677308</v>
      </c>
      <c r="Q23" s="77"/>
    </row>
    <row r="24" spans="1:17">
      <c r="A24" s="78" t="s">
        <v>221</v>
      </c>
      <c r="B24" s="72">
        <v>931836.56199000007</v>
      </c>
      <c r="C24" s="72">
        <v>1684468.5168799986</v>
      </c>
      <c r="D24" s="72">
        <v>308241.41099999985</v>
      </c>
      <c r="E24" s="73">
        <f t="shared" si="1"/>
        <v>2924546.4898699983</v>
      </c>
      <c r="F24" s="72">
        <v>928990.20388999954</v>
      </c>
      <c r="G24" s="72">
        <v>1777694.6863499996</v>
      </c>
      <c r="H24" s="72">
        <v>400685.79591999989</v>
      </c>
      <c r="I24" s="74">
        <f t="shared" si="2"/>
        <v>3107370.6861599991</v>
      </c>
      <c r="J24" s="75">
        <f t="shared" si="3"/>
        <v>-3.0545679533350201E-3</v>
      </c>
      <c r="K24" s="75">
        <f t="shared" si="3"/>
        <v>5.534456033804426E-2</v>
      </c>
      <c r="L24" s="75">
        <f t="shared" si="3"/>
        <v>0.29990903759521165</v>
      </c>
      <c r="M24" s="76">
        <f t="shared" si="3"/>
        <v>6.2513691241792402E-2</v>
      </c>
      <c r="N24" s="75">
        <f t="shared" si="4"/>
        <v>-1.5568825996563189E-2</v>
      </c>
      <c r="O24" s="75">
        <f t="shared" si="5"/>
        <v>0.50992249035856874</v>
      </c>
      <c r="P24" s="75">
        <f t="shared" si="6"/>
        <v>0.50564633563799288</v>
      </c>
      <c r="Q24" s="77"/>
    </row>
    <row r="25" spans="1:17">
      <c r="A25" s="78" t="s">
        <v>222</v>
      </c>
      <c r="B25" s="72">
        <v>146903.00629000002</v>
      </c>
      <c r="C25" s="72">
        <v>430225.30579999968</v>
      </c>
      <c r="D25" s="72">
        <v>202083.5834899999</v>
      </c>
      <c r="E25" s="73">
        <f t="shared" si="1"/>
        <v>779211.89557999955</v>
      </c>
      <c r="F25" s="72">
        <v>132431.31385000001</v>
      </c>
      <c r="G25" s="72">
        <v>461590.27085000009</v>
      </c>
      <c r="H25" s="72">
        <v>236572.0368</v>
      </c>
      <c r="I25" s="74">
        <f t="shared" si="2"/>
        <v>830593.62150000012</v>
      </c>
      <c r="J25" s="75">
        <f t="shared" si="3"/>
        <v>-9.8511887574523588E-2</v>
      </c>
      <c r="K25" s="75">
        <f t="shared" si="3"/>
        <v>7.290358011757947E-2</v>
      </c>
      <c r="L25" s="75">
        <f t="shared" si="3"/>
        <v>0.17066429996134128</v>
      </c>
      <c r="M25" s="76">
        <f t="shared" si="3"/>
        <v>6.5940633364888562E-2</v>
      </c>
      <c r="N25" s="75">
        <f t="shared" si="4"/>
        <v>-0.28165057091565776</v>
      </c>
      <c r="O25" s="75">
        <f t="shared" si="5"/>
        <v>0.61043035220020603</v>
      </c>
      <c r="P25" s="75">
        <f t="shared" si="6"/>
        <v>0.67122021871545012</v>
      </c>
      <c r="Q25" s="77"/>
    </row>
    <row r="26" spans="1:17">
      <c r="A26" s="78" t="s">
        <v>223</v>
      </c>
      <c r="B26" s="72">
        <v>185674.92263999998</v>
      </c>
      <c r="C26" s="72">
        <v>529768.84406000061</v>
      </c>
      <c r="D26" s="72">
        <v>121084.87858999998</v>
      </c>
      <c r="E26" s="73">
        <f t="shared" si="1"/>
        <v>836528.6452900006</v>
      </c>
      <c r="F26" s="72">
        <v>162186.11242999992</v>
      </c>
      <c r="G26" s="72">
        <v>526913.91558999987</v>
      </c>
      <c r="H26" s="72">
        <v>144396.78950000004</v>
      </c>
      <c r="I26" s="74">
        <f t="shared" si="2"/>
        <v>833496.81751999992</v>
      </c>
      <c r="J26" s="75">
        <f t="shared" si="3"/>
        <v>-0.12650502219700324</v>
      </c>
      <c r="K26" s="75">
        <f t="shared" si="3"/>
        <v>-5.3890078701521321E-3</v>
      </c>
      <c r="L26" s="75">
        <f t="shared" si="3"/>
        <v>0.19252536882772514</v>
      </c>
      <c r="M26" s="76">
        <f t="shared" si="3"/>
        <v>-3.6242964147983536E-3</v>
      </c>
      <c r="N26" s="75">
        <f t="shared" si="4"/>
        <v>7.7474091511454297</v>
      </c>
      <c r="O26" s="75">
        <f t="shared" si="5"/>
        <v>0.94165258932241636</v>
      </c>
      <c r="P26" s="75">
        <f t="shared" si="6"/>
        <v>-7.6890617404678272</v>
      </c>
      <c r="Q26" s="77"/>
    </row>
    <row r="27" spans="1:17">
      <c r="A27" s="78" t="s">
        <v>224</v>
      </c>
      <c r="B27" s="72">
        <v>137978.10873999997</v>
      </c>
      <c r="C27" s="72">
        <v>23612.501730000007</v>
      </c>
      <c r="D27" s="72">
        <v>38811.312669999999</v>
      </c>
      <c r="E27" s="73">
        <f t="shared" si="1"/>
        <v>200401.92313999997</v>
      </c>
      <c r="F27" s="72">
        <v>161749.18251999994</v>
      </c>
      <c r="G27" s="72">
        <v>30369.593059999999</v>
      </c>
      <c r="H27" s="72">
        <v>53644.98949</v>
      </c>
      <c r="I27" s="74">
        <f t="shared" si="2"/>
        <v>245763.76506999996</v>
      </c>
      <c r="J27" s="75">
        <f t="shared" si="3"/>
        <v>0.17228148723790068</v>
      </c>
      <c r="K27" s="75">
        <f t="shared" si="3"/>
        <v>0.28616583737143847</v>
      </c>
      <c r="L27" s="75">
        <f t="shared" si="3"/>
        <v>0.38219982266835295</v>
      </c>
      <c r="M27" s="76">
        <f t="shared" si="3"/>
        <v>0.22635432444583078</v>
      </c>
      <c r="N27" s="75">
        <f t="shared" si="4"/>
        <v>0.52403237541990133</v>
      </c>
      <c r="O27" s="75">
        <f t="shared" si="5"/>
        <v>0.14895980944572709</v>
      </c>
      <c r="P27" s="75">
        <f t="shared" si="6"/>
        <v>0.32700781513437105</v>
      </c>
      <c r="Q27" s="77"/>
    </row>
    <row r="28" spans="1:17">
      <c r="A28" s="78" t="s">
        <v>225</v>
      </c>
      <c r="B28" s="72">
        <v>43435.049970000007</v>
      </c>
      <c r="C28" s="72">
        <v>95705.428279999978</v>
      </c>
      <c r="D28" s="72">
        <v>106206.29212</v>
      </c>
      <c r="E28" s="73">
        <f t="shared" si="1"/>
        <v>245346.77036999998</v>
      </c>
      <c r="F28" s="72">
        <v>43888.186469999979</v>
      </c>
      <c r="G28" s="72">
        <v>117792.05856999999</v>
      </c>
      <c r="H28" s="72">
        <v>133199.28529000003</v>
      </c>
      <c r="I28" s="74">
        <f t="shared" si="2"/>
        <v>294879.53032999998</v>
      </c>
      <c r="J28" s="75">
        <f t="shared" si="3"/>
        <v>1.0432507855129593E-2</v>
      </c>
      <c r="K28" s="75">
        <f t="shared" si="3"/>
        <v>0.23077719505504332</v>
      </c>
      <c r="L28" s="75">
        <f t="shared" si="3"/>
        <v>0.25415625224446475</v>
      </c>
      <c r="M28" s="76">
        <f t="shared" si="3"/>
        <v>0.20188877923806028</v>
      </c>
      <c r="N28" s="75">
        <f t="shared" si="4"/>
        <v>9.148218277477374E-3</v>
      </c>
      <c r="O28" s="75">
        <f t="shared" si="5"/>
        <v>0.44589944731196074</v>
      </c>
      <c r="P28" s="75">
        <f t="shared" si="6"/>
        <v>0.54495233441056234</v>
      </c>
      <c r="Q28" s="77"/>
    </row>
    <row r="29" spans="1:17">
      <c r="A29" s="78" t="s">
        <v>226</v>
      </c>
      <c r="B29" s="72">
        <v>297811.21451000008</v>
      </c>
      <c r="C29" s="72">
        <v>154464.96279999992</v>
      </c>
      <c r="D29" s="72">
        <v>184325.36810000002</v>
      </c>
      <c r="E29" s="73">
        <f t="shared" si="1"/>
        <v>636601.54541000002</v>
      </c>
      <c r="F29" s="72">
        <v>311201.7837000002</v>
      </c>
      <c r="G29" s="72">
        <v>178143.00892999992</v>
      </c>
      <c r="H29" s="72">
        <v>234253.06935000001</v>
      </c>
      <c r="I29" s="74">
        <f t="shared" si="2"/>
        <v>723597.86198000016</v>
      </c>
      <c r="J29" s="75">
        <f t="shared" si="3"/>
        <v>4.496328055352828E-2</v>
      </c>
      <c r="K29" s="75">
        <f t="shared" si="3"/>
        <v>0.15329072496950755</v>
      </c>
      <c r="L29" s="75">
        <f t="shared" si="3"/>
        <v>0.27086722660395424</v>
      </c>
      <c r="M29" s="76">
        <f t="shared" si="3"/>
        <v>0.1366574071289296</v>
      </c>
      <c r="N29" s="75">
        <f t="shared" si="4"/>
        <v>0.15392110514501642</v>
      </c>
      <c r="O29" s="75">
        <f t="shared" si="5"/>
        <v>0.27217297310453203</v>
      </c>
      <c r="P29" s="75">
        <f t="shared" si="6"/>
        <v>0.57390592175045119</v>
      </c>
      <c r="Q29" s="77"/>
    </row>
    <row r="30" spans="1:17">
      <c r="A30" s="78" t="s">
        <v>227</v>
      </c>
      <c r="B30" s="72">
        <v>1198240.5138399999</v>
      </c>
      <c r="C30" s="72">
        <v>393171.32800999994</v>
      </c>
      <c r="D30" s="72">
        <v>289656.22809000005</v>
      </c>
      <c r="E30" s="73">
        <f t="shared" si="1"/>
        <v>1881068.0699400001</v>
      </c>
      <c r="F30" s="72">
        <v>1378061.2222699986</v>
      </c>
      <c r="G30" s="72">
        <v>491966.01652999956</v>
      </c>
      <c r="H30" s="72">
        <v>428449.93761999987</v>
      </c>
      <c r="I30" s="74">
        <f t="shared" si="2"/>
        <v>2298477.1764199981</v>
      </c>
      <c r="J30" s="75">
        <f t="shared" si="3"/>
        <v>0.15007062968829815</v>
      </c>
      <c r="K30" s="75">
        <f t="shared" si="3"/>
        <v>0.25127643213466183</v>
      </c>
      <c r="L30" s="75">
        <f t="shared" si="3"/>
        <v>0.4791670127212827</v>
      </c>
      <c r="M30" s="76">
        <f t="shared" si="3"/>
        <v>0.22190005409709174</v>
      </c>
      <c r="N30" s="75">
        <f t="shared" si="4"/>
        <v>0.43080207316611485</v>
      </c>
      <c r="O30" s="75">
        <f t="shared" si="5"/>
        <v>0.23668551305248969</v>
      </c>
      <c r="P30" s="75">
        <f t="shared" si="6"/>
        <v>0.3325124137813959</v>
      </c>
      <c r="Q30" s="77"/>
    </row>
    <row r="31" spans="1:17">
      <c r="A31" s="78" t="s">
        <v>228</v>
      </c>
      <c r="B31" s="72">
        <v>70825.502420000033</v>
      </c>
      <c r="C31" s="72">
        <v>168777.78798000002</v>
      </c>
      <c r="D31" s="72">
        <v>99375.860350000003</v>
      </c>
      <c r="E31" s="73">
        <f t="shared" si="1"/>
        <v>338979.15075000003</v>
      </c>
      <c r="F31" s="72">
        <v>61142.351089999996</v>
      </c>
      <c r="G31" s="72">
        <v>176855.28892999998</v>
      </c>
      <c r="H31" s="72">
        <v>105971.63626999994</v>
      </c>
      <c r="I31" s="74">
        <f t="shared" si="2"/>
        <v>343969.27628999995</v>
      </c>
      <c r="J31" s="75">
        <f t="shared" si="3"/>
        <v>-0.13671842767282175</v>
      </c>
      <c r="K31" s="75">
        <f t="shared" si="3"/>
        <v>4.7858791412511772E-2</v>
      </c>
      <c r="L31" s="75">
        <f t="shared" si="3"/>
        <v>6.6372013251203427E-2</v>
      </c>
      <c r="M31" s="76">
        <f t="shared" si="3"/>
        <v>1.4721039712793959E-2</v>
      </c>
      <c r="N31" s="75">
        <f t="shared" si="4"/>
        <v>-1.940462469807962</v>
      </c>
      <c r="O31" s="75">
        <f t="shared" si="5"/>
        <v>1.6186969416404875</v>
      </c>
      <c r="P31" s="75">
        <f t="shared" si="6"/>
        <v>1.321765528167463</v>
      </c>
      <c r="Q31" s="77"/>
    </row>
    <row r="32" spans="1:17">
      <c r="A32" s="78" t="s">
        <v>229</v>
      </c>
      <c r="B32" s="72">
        <v>507362.1532700003</v>
      </c>
      <c r="C32" s="72">
        <v>239857.07580000002</v>
      </c>
      <c r="D32" s="72">
        <v>104356.78826999998</v>
      </c>
      <c r="E32" s="73">
        <f t="shared" si="1"/>
        <v>851576.01734000037</v>
      </c>
      <c r="F32" s="72">
        <v>563051.01666999981</v>
      </c>
      <c r="G32" s="72">
        <v>280157.13811999984</v>
      </c>
      <c r="H32" s="72">
        <v>161486.91912000001</v>
      </c>
      <c r="I32" s="74">
        <f t="shared" si="2"/>
        <v>1004695.0739099996</v>
      </c>
      <c r="J32" s="75">
        <f t="shared" si="3"/>
        <v>0.10976156388701672</v>
      </c>
      <c r="K32" s="75">
        <f t="shared" si="3"/>
        <v>0.16801698338723689</v>
      </c>
      <c r="L32" s="75">
        <f t="shared" si="3"/>
        <v>0.54745006814687058</v>
      </c>
      <c r="M32" s="76">
        <f t="shared" si="3"/>
        <v>0.17980668014616583</v>
      </c>
      <c r="N32" s="75">
        <f t="shared" si="4"/>
        <v>0.36369648982614416</v>
      </c>
      <c r="O32" s="75">
        <f t="shared" si="5"/>
        <v>0.26319429614286077</v>
      </c>
      <c r="P32" s="75">
        <f t="shared" si="6"/>
        <v>0.37310921403099612</v>
      </c>
      <c r="Q32" s="77"/>
    </row>
    <row r="33" spans="1:17">
      <c r="A33" s="78" t="s">
        <v>230</v>
      </c>
      <c r="B33" s="72">
        <v>78625.076120000027</v>
      </c>
      <c r="C33" s="72">
        <v>44687.457029999998</v>
      </c>
      <c r="D33" s="72">
        <v>66058.485749999993</v>
      </c>
      <c r="E33" s="73">
        <f t="shared" si="1"/>
        <v>189371.01890000002</v>
      </c>
      <c r="F33" s="72">
        <v>77703.759390000007</v>
      </c>
      <c r="G33" s="72">
        <v>60619.143649999998</v>
      </c>
      <c r="H33" s="72">
        <v>84945.079379999996</v>
      </c>
      <c r="I33" s="74">
        <f t="shared" si="2"/>
        <v>223267.98242000001</v>
      </c>
      <c r="J33" s="75">
        <f t="shared" si="3"/>
        <v>-1.1717848496501019E-2</v>
      </c>
      <c r="K33" s="75">
        <f t="shared" si="3"/>
        <v>0.35651360983249936</v>
      </c>
      <c r="L33" s="75">
        <f t="shared" si="3"/>
        <v>0.28590715357110658</v>
      </c>
      <c r="M33" s="76">
        <f t="shared" si="3"/>
        <v>0.17899762971597966</v>
      </c>
      <c r="N33" s="75">
        <f t="shared" si="4"/>
        <v>-2.7179919211832125E-2</v>
      </c>
      <c r="O33" s="75">
        <f t="shared" si="5"/>
        <v>0.47000335621802636</v>
      </c>
      <c r="P33" s="75">
        <f t="shared" si="6"/>
        <v>0.55717656299380558</v>
      </c>
      <c r="Q33" s="77"/>
    </row>
    <row r="34" spans="1:17">
      <c r="A34" s="78" t="s">
        <v>231</v>
      </c>
      <c r="B34" s="72">
        <v>475940.87880999985</v>
      </c>
      <c r="C34" s="72">
        <v>1028130.4478199998</v>
      </c>
      <c r="D34" s="72">
        <v>162649.50691000003</v>
      </c>
      <c r="E34" s="73">
        <f t="shared" si="1"/>
        <v>1666720.8335399996</v>
      </c>
      <c r="F34" s="72">
        <v>408234.81180000008</v>
      </c>
      <c r="G34" s="72">
        <v>1046494.0097799996</v>
      </c>
      <c r="H34" s="72">
        <v>187295.01993999991</v>
      </c>
      <c r="I34" s="74">
        <f t="shared" si="2"/>
        <v>1642023.8415199998</v>
      </c>
      <c r="J34" s="75">
        <f t="shared" si="3"/>
        <v>-0.14225730552770752</v>
      </c>
      <c r="K34" s="75">
        <f t="shared" si="3"/>
        <v>1.7861120637888989E-2</v>
      </c>
      <c r="L34" s="75">
        <f t="shared" si="3"/>
        <v>0.15152528586291478</v>
      </c>
      <c r="M34" s="76">
        <f t="shared" si="3"/>
        <v>-1.481771363446935E-2</v>
      </c>
      <c r="N34" s="75">
        <f t="shared" si="4"/>
        <v>2.7414701739860057</v>
      </c>
      <c r="O34" s="75">
        <f t="shared" si="5"/>
        <v>-0.74355459746389052</v>
      </c>
      <c r="P34" s="75">
        <f t="shared" si="6"/>
        <v>-0.99791557652210439</v>
      </c>
      <c r="Q34" s="77"/>
    </row>
    <row r="35" spans="1:17">
      <c r="A35" s="78" t="s">
        <v>232</v>
      </c>
      <c r="B35" s="72">
        <v>182520.14236</v>
      </c>
      <c r="C35" s="72">
        <v>9260.2126800000005</v>
      </c>
      <c r="D35" s="72">
        <v>16810.228579999999</v>
      </c>
      <c r="E35" s="73">
        <f t="shared" si="1"/>
        <v>208590.58361999999</v>
      </c>
      <c r="F35" s="72">
        <v>211911.17398000002</v>
      </c>
      <c r="G35" s="72">
        <v>18150.08843</v>
      </c>
      <c r="H35" s="72">
        <v>25116.180910000006</v>
      </c>
      <c r="I35" s="74">
        <f t="shared" si="2"/>
        <v>255177.44332000002</v>
      </c>
      <c r="J35" s="75">
        <f t="shared" si="3"/>
        <v>0.16102897598024876</v>
      </c>
      <c r="K35" s="75">
        <f t="shared" si="3"/>
        <v>0.96000772954169333</v>
      </c>
      <c r="L35" s="75">
        <f t="shared" si="3"/>
        <v>0.49410109389482243</v>
      </c>
      <c r="M35" s="76">
        <f t="shared" si="3"/>
        <v>0.22334114460732163</v>
      </c>
      <c r="N35" s="75">
        <f t="shared" si="4"/>
        <v>0.63088673092082237</v>
      </c>
      <c r="O35" s="75">
        <f t="shared" si="5"/>
        <v>0.19082367447059312</v>
      </c>
      <c r="P35" s="75">
        <f t="shared" si="6"/>
        <v>0.17828959460858448</v>
      </c>
      <c r="Q35" s="77"/>
    </row>
    <row r="36" spans="1:17">
      <c r="A36" s="78" t="s">
        <v>233</v>
      </c>
      <c r="B36" s="72">
        <v>133306.53740999999</v>
      </c>
      <c r="C36" s="72">
        <v>43685.050889999991</v>
      </c>
      <c r="D36" s="72">
        <v>75925.918850000016</v>
      </c>
      <c r="E36" s="73">
        <f t="shared" si="1"/>
        <v>252917.50714999999</v>
      </c>
      <c r="F36" s="72">
        <v>143904.46813000002</v>
      </c>
      <c r="G36" s="72">
        <v>51962.605860000003</v>
      </c>
      <c r="H36" s="72">
        <v>93521.716440000018</v>
      </c>
      <c r="I36" s="74">
        <f t="shared" si="2"/>
        <v>289388.79043000005</v>
      </c>
      <c r="J36" s="75">
        <f t="shared" si="3"/>
        <v>7.9500457561243576E-2</v>
      </c>
      <c r="K36" s="75">
        <f t="shared" si="3"/>
        <v>0.18948255298690378</v>
      </c>
      <c r="L36" s="75">
        <f t="shared" si="3"/>
        <v>0.23174955083207396</v>
      </c>
      <c r="M36" s="76">
        <f t="shared" si="3"/>
        <v>0.14420228829145354</v>
      </c>
      <c r="N36" s="75">
        <f t="shared" si="4"/>
        <v>0.29058288513285391</v>
      </c>
      <c r="O36" s="75">
        <f t="shared" si="5"/>
        <v>0.22696089157189639</v>
      </c>
      <c r="P36" s="75">
        <f t="shared" si="6"/>
        <v>0.48245622329524929</v>
      </c>
      <c r="Q36" s="77"/>
    </row>
    <row r="37" spans="1:17">
      <c r="A37" s="78" t="s">
        <v>234</v>
      </c>
      <c r="B37" s="72">
        <v>71669.262419999999</v>
      </c>
      <c r="C37" s="72">
        <v>93908.835569999996</v>
      </c>
      <c r="D37" s="72">
        <v>106293.1109</v>
      </c>
      <c r="E37" s="73">
        <f t="shared" si="1"/>
        <v>271871.20889000001</v>
      </c>
      <c r="F37" s="72">
        <v>70672.706630000001</v>
      </c>
      <c r="G37" s="72">
        <v>100002.29166</v>
      </c>
      <c r="H37" s="72">
        <v>119414.55499999996</v>
      </c>
      <c r="I37" s="74">
        <f t="shared" si="2"/>
        <v>290089.55328999995</v>
      </c>
      <c r="J37" s="75">
        <f t="shared" si="3"/>
        <v>-1.3904925994074413E-2</v>
      </c>
      <c r="K37" s="75">
        <f t="shared" si="3"/>
        <v>6.4886930532302489E-2</v>
      </c>
      <c r="L37" s="75">
        <f t="shared" si="3"/>
        <v>0.1234458563579398</v>
      </c>
      <c r="M37" s="76">
        <f t="shared" si="3"/>
        <v>6.7010936812257837E-2</v>
      </c>
      <c r="N37" s="75">
        <f t="shared" si="4"/>
        <v>-5.4700677960616534E-2</v>
      </c>
      <c r="O37" s="75">
        <f t="shared" si="5"/>
        <v>0.33446815782009398</v>
      </c>
      <c r="P37" s="75">
        <f t="shared" si="6"/>
        <v>0.72023252014052408</v>
      </c>
      <c r="Q37" s="77"/>
    </row>
    <row r="38" spans="1:17">
      <c r="A38" s="78" t="s">
        <v>235</v>
      </c>
      <c r="B38" s="72">
        <v>117479.63284000003</v>
      </c>
      <c r="C38" s="72">
        <v>19435.9683</v>
      </c>
      <c r="D38" s="72">
        <v>119416.19344</v>
      </c>
      <c r="E38" s="73">
        <f t="shared" si="1"/>
        <v>256331.79458000005</v>
      </c>
      <c r="F38" s="72">
        <v>132266.85992999998</v>
      </c>
      <c r="G38" s="72">
        <v>22985.851129999999</v>
      </c>
      <c r="H38" s="72">
        <v>135467.70689</v>
      </c>
      <c r="I38" s="74">
        <f t="shared" si="2"/>
        <v>290720.41794999997</v>
      </c>
      <c r="J38" s="75">
        <f t="shared" si="3"/>
        <v>0.12587055928357579</v>
      </c>
      <c r="K38" s="75">
        <f t="shared" si="3"/>
        <v>0.18264502057250209</v>
      </c>
      <c r="L38" s="75">
        <f t="shared" si="3"/>
        <v>0.1344165559762629</v>
      </c>
      <c r="M38" s="76">
        <f t="shared" si="3"/>
        <v>0.13415668324074168</v>
      </c>
      <c r="N38" s="75">
        <f t="shared" si="4"/>
        <v>0.43000346163609671</v>
      </c>
      <c r="O38" s="75">
        <f t="shared" si="5"/>
        <v>0.10322840759880078</v>
      </c>
      <c r="P38" s="75">
        <f t="shared" si="6"/>
        <v>0.46676813076510287</v>
      </c>
      <c r="Q38" s="77"/>
    </row>
    <row r="39" spans="1:17">
      <c r="A39" s="78" t="s">
        <v>236</v>
      </c>
      <c r="B39" s="72">
        <v>24226.20378</v>
      </c>
      <c r="C39" s="72">
        <v>91589.995210000023</v>
      </c>
      <c r="D39" s="72">
        <v>101336.6767</v>
      </c>
      <c r="E39" s="73">
        <f t="shared" si="1"/>
        <v>217152.87569000002</v>
      </c>
      <c r="F39" s="72">
        <v>24059.157210000001</v>
      </c>
      <c r="G39" s="72">
        <v>109680.98203000003</v>
      </c>
      <c r="H39" s="72">
        <v>113544.84389000003</v>
      </c>
      <c r="I39" s="74">
        <f t="shared" si="2"/>
        <v>247284.98313000007</v>
      </c>
      <c r="J39" s="75">
        <f t="shared" si="3"/>
        <v>-6.8952846065756411E-3</v>
      </c>
      <c r="K39" s="75">
        <f t="shared" si="3"/>
        <v>0.19752142991732341</v>
      </c>
      <c r="L39" s="75">
        <f t="shared" si="3"/>
        <v>0.12047135930993123</v>
      </c>
      <c r="M39" s="76">
        <f t="shared" si="3"/>
        <v>0.13875988215332508</v>
      </c>
      <c r="N39" s="75">
        <f t="shared" si="4"/>
        <v>-5.5438063976317193E-3</v>
      </c>
      <c r="O39" s="75">
        <f t="shared" si="5"/>
        <v>0.60038903206565675</v>
      </c>
      <c r="P39" s="75">
        <f t="shared" si="6"/>
        <v>0.40515477433197472</v>
      </c>
      <c r="Q39" s="77"/>
    </row>
    <row r="40" spans="1:17">
      <c r="A40" s="78" t="s">
        <v>237</v>
      </c>
      <c r="B40" s="72">
        <v>20577.53009</v>
      </c>
      <c r="C40" s="72">
        <v>96226.558760000014</v>
      </c>
      <c r="D40" s="72">
        <v>85575.242610000001</v>
      </c>
      <c r="E40" s="73">
        <f t="shared" si="1"/>
        <v>202379.33146000002</v>
      </c>
      <c r="F40" s="72">
        <v>20600.792469999997</v>
      </c>
      <c r="G40" s="72">
        <v>106357.94637000002</v>
      </c>
      <c r="H40" s="72">
        <v>95333.847430000009</v>
      </c>
      <c r="I40" s="74">
        <f t="shared" si="2"/>
        <v>222292.58627000003</v>
      </c>
      <c r="J40" s="75">
        <f t="shared" si="3"/>
        <v>1.1304748382460746E-3</v>
      </c>
      <c r="K40" s="75">
        <f t="shared" si="3"/>
        <v>0.10528681208759463</v>
      </c>
      <c r="L40" s="75">
        <f t="shared" si="3"/>
        <v>0.1140353742784441</v>
      </c>
      <c r="M40" s="76">
        <f t="shared" si="3"/>
        <v>9.8395694196350483E-2</v>
      </c>
      <c r="N40" s="75">
        <f t="shared" si="4"/>
        <v>1.1681857246317467E-3</v>
      </c>
      <c r="O40" s="75">
        <f t="shared" si="5"/>
        <v>0.50877607436189876</v>
      </c>
      <c r="P40" s="75">
        <f t="shared" si="6"/>
        <v>0.49005573991346929</v>
      </c>
      <c r="Q40" s="77"/>
    </row>
    <row r="41" spans="1:17">
      <c r="A41" s="78" t="s">
        <v>238</v>
      </c>
      <c r="B41" s="72">
        <v>44990.029449999995</v>
      </c>
      <c r="C41" s="72">
        <v>299981.86180999991</v>
      </c>
      <c r="D41" s="72">
        <v>97811.58342999997</v>
      </c>
      <c r="E41" s="73">
        <f t="shared" si="1"/>
        <v>442783.47468999983</v>
      </c>
      <c r="F41" s="72">
        <v>45134.033290000014</v>
      </c>
      <c r="G41" s="72">
        <v>315450.71077999979</v>
      </c>
      <c r="H41" s="72">
        <v>108752.82513000001</v>
      </c>
      <c r="I41" s="74">
        <f t="shared" si="2"/>
        <v>469337.56919999979</v>
      </c>
      <c r="J41" s="75">
        <f t="shared" si="3"/>
        <v>3.2007945262640725E-3</v>
      </c>
      <c r="K41" s="75">
        <f t="shared" si="3"/>
        <v>5.1565947609850525E-2</v>
      </c>
      <c r="L41" s="75">
        <f t="shared" si="3"/>
        <v>0.11186038827221596</v>
      </c>
      <c r="M41" s="76">
        <f t="shared" si="3"/>
        <v>5.9970834567823324E-2</v>
      </c>
      <c r="N41" s="75">
        <f t="shared" si="4"/>
        <v>5.4230371118770106E-3</v>
      </c>
      <c r="O41" s="75">
        <f t="shared" si="5"/>
        <v>0.58254100753367755</v>
      </c>
      <c r="P41" s="75">
        <f t="shared" si="6"/>
        <v>0.41203595535444437</v>
      </c>
      <c r="Q41" s="77"/>
    </row>
    <row r="42" spans="1:17">
      <c r="A42" s="78" t="s">
        <v>239</v>
      </c>
      <c r="B42" s="72">
        <v>127025.17845000002</v>
      </c>
      <c r="C42" s="72">
        <v>88405.396749999971</v>
      </c>
      <c r="D42" s="72">
        <v>30728.134690000003</v>
      </c>
      <c r="E42" s="73">
        <f t="shared" si="1"/>
        <v>246158.70989</v>
      </c>
      <c r="F42" s="72">
        <v>141492.68357000005</v>
      </c>
      <c r="G42" s="72">
        <v>109758.97292999999</v>
      </c>
      <c r="H42" s="72">
        <v>41008.354549999996</v>
      </c>
      <c r="I42" s="74">
        <f t="shared" si="2"/>
        <v>292260.01105000003</v>
      </c>
      <c r="J42" s="75">
        <f t="shared" si="3"/>
        <v>0.11389478288113382</v>
      </c>
      <c r="K42" s="75">
        <f t="shared" si="3"/>
        <v>0.24154154570885997</v>
      </c>
      <c r="L42" s="75">
        <f t="shared" si="3"/>
        <v>0.33455398330265496</v>
      </c>
      <c r="M42" s="76">
        <f t="shared" si="3"/>
        <v>0.18728283545441535</v>
      </c>
      <c r="N42" s="75">
        <f t="shared" si="4"/>
        <v>0.31381988698732904</v>
      </c>
      <c r="O42" s="75">
        <f t="shared" si="5"/>
        <v>0.46318814529529007</v>
      </c>
      <c r="P42" s="75">
        <f t="shared" si="6"/>
        <v>0.22299196771738117</v>
      </c>
      <c r="Q42" s="77"/>
    </row>
    <row r="43" spans="1:17">
      <c r="A43" s="78" t="s">
        <v>240</v>
      </c>
      <c r="B43" s="72">
        <v>804485.71175999998</v>
      </c>
      <c r="C43" s="72">
        <v>553433.85215999978</v>
      </c>
      <c r="D43" s="72">
        <v>281956.82759999996</v>
      </c>
      <c r="E43" s="73">
        <f t="shared" si="1"/>
        <v>1639876.3915199996</v>
      </c>
      <c r="F43" s="72">
        <v>878808.92890000017</v>
      </c>
      <c r="G43" s="72">
        <v>726473.95129000011</v>
      </c>
      <c r="H43" s="72">
        <v>451854.48735000001</v>
      </c>
      <c r="I43" s="74">
        <f t="shared" si="2"/>
        <v>2057137.3675400005</v>
      </c>
      <c r="J43" s="75">
        <f t="shared" si="3"/>
        <v>9.2386000215467889E-2</v>
      </c>
      <c r="K43" s="75">
        <f t="shared" si="3"/>
        <v>0.31266627159621924</v>
      </c>
      <c r="L43" s="75">
        <f t="shared" si="3"/>
        <v>0.60256621978676306</v>
      </c>
      <c r="M43" s="76">
        <f t="shared" si="3"/>
        <v>0.25444660230350785</v>
      </c>
      <c r="N43" s="75">
        <f t="shared" si="4"/>
        <v>0.17812165865335466</v>
      </c>
      <c r="O43" s="75">
        <f t="shared" si="5"/>
        <v>0.41470472695655558</v>
      </c>
      <c r="P43" s="75">
        <f t="shared" si="6"/>
        <v>0.40717361439008909</v>
      </c>
      <c r="Q43" s="77"/>
    </row>
    <row r="44" spans="1:17">
      <c r="A44" s="78" t="s">
        <v>241</v>
      </c>
      <c r="B44" s="72">
        <v>320168.95827999996</v>
      </c>
      <c r="C44" s="72">
        <v>122588.89508999999</v>
      </c>
      <c r="D44" s="72">
        <v>152116.20738999997</v>
      </c>
      <c r="E44" s="73">
        <f t="shared" si="1"/>
        <v>594874.06075999991</v>
      </c>
      <c r="F44" s="72">
        <v>330199.64052000002</v>
      </c>
      <c r="G44" s="72">
        <v>155507.48275000011</v>
      </c>
      <c r="H44" s="72">
        <v>194549.95270999998</v>
      </c>
      <c r="I44" s="74">
        <f t="shared" si="2"/>
        <v>680257.07598000008</v>
      </c>
      <c r="J44" s="75">
        <f t="shared" si="3"/>
        <v>3.1329340276729262E-2</v>
      </c>
      <c r="K44" s="75">
        <f t="shared" si="3"/>
        <v>0.2685283005106831</v>
      </c>
      <c r="L44" s="75">
        <f t="shared" si="3"/>
        <v>0.27895610893852452</v>
      </c>
      <c r="M44" s="76">
        <f t="shared" si="3"/>
        <v>0.1435312461110112</v>
      </c>
      <c r="N44" s="75">
        <f t="shared" si="4"/>
        <v>0.11747866029508008</v>
      </c>
      <c r="O44" s="75">
        <f t="shared" si="5"/>
        <v>0.38554023391164161</v>
      </c>
      <c r="P44" s="75">
        <f t="shared" si="6"/>
        <v>0.49698110579327853</v>
      </c>
      <c r="Q44" s="77"/>
    </row>
    <row r="45" spans="1:17">
      <c r="A45" s="78" t="s">
        <v>242</v>
      </c>
      <c r="B45" s="72">
        <v>66980.687580000013</v>
      </c>
      <c r="C45" s="72">
        <v>26681.555170000003</v>
      </c>
      <c r="D45" s="72">
        <v>86894.037180000014</v>
      </c>
      <c r="E45" s="73">
        <f t="shared" si="1"/>
        <v>180556.27993000002</v>
      </c>
      <c r="F45" s="72">
        <v>62945.296519999996</v>
      </c>
      <c r="G45" s="72">
        <v>31291.862799999999</v>
      </c>
      <c r="H45" s="72">
        <v>106819.36584999997</v>
      </c>
      <c r="I45" s="74">
        <f t="shared" si="2"/>
        <v>201056.52516999998</v>
      </c>
      <c r="J45" s="75">
        <f t="shared" si="3"/>
        <v>-6.024708323843718E-2</v>
      </c>
      <c r="K45" s="75">
        <f t="shared" si="3"/>
        <v>0.17279006417076082</v>
      </c>
      <c r="L45" s="75">
        <f t="shared" si="3"/>
        <v>0.22930605271251084</v>
      </c>
      <c r="M45" s="76">
        <f t="shared" si="3"/>
        <v>0.11353936427992266</v>
      </c>
      <c r="N45" s="75">
        <f t="shared" si="4"/>
        <v>-0.19684598953607563</v>
      </c>
      <c r="O45" s="75">
        <f t="shared" si="5"/>
        <v>0.22489036477497304</v>
      </c>
      <c r="P45" s="75">
        <f t="shared" si="6"/>
        <v>0.97195562476110153</v>
      </c>
      <c r="Q45" s="77"/>
    </row>
    <row r="46" spans="1:17">
      <c r="A46" s="78" t="s">
        <v>243</v>
      </c>
      <c r="B46" s="72">
        <v>260118.43111999994</v>
      </c>
      <c r="C46" s="72">
        <v>44523.442309999991</v>
      </c>
      <c r="D46" s="72">
        <v>66012.600930000001</v>
      </c>
      <c r="E46" s="73">
        <f t="shared" si="1"/>
        <v>370654.47435999993</v>
      </c>
      <c r="F46" s="72">
        <v>299941.97037</v>
      </c>
      <c r="G46" s="72">
        <v>69609.726320000002</v>
      </c>
      <c r="H46" s="72">
        <v>110399.09283999995</v>
      </c>
      <c r="I46" s="74">
        <f t="shared" si="2"/>
        <v>479950.78952999995</v>
      </c>
      <c r="J46" s="75">
        <f t="shared" si="3"/>
        <v>0.15309772198198573</v>
      </c>
      <c r="K46" s="75">
        <f t="shared" si="3"/>
        <v>0.56343990285687362</v>
      </c>
      <c r="L46" s="75">
        <f t="shared" si="3"/>
        <v>0.67239422905132229</v>
      </c>
      <c r="M46" s="76">
        <f t="shared" si="3"/>
        <v>0.29487385889167883</v>
      </c>
      <c r="N46" s="75">
        <f t="shared" si="4"/>
        <v>0.36436305458293206</v>
      </c>
      <c r="O46" s="75">
        <f t="shared" si="5"/>
        <v>0.22952543249953747</v>
      </c>
      <c r="P46" s="75">
        <f t="shared" si="6"/>
        <v>0.40611151291753056</v>
      </c>
      <c r="Q46" s="77"/>
    </row>
    <row r="47" spans="1:17">
      <c r="A47" s="78" t="s">
        <v>244</v>
      </c>
      <c r="B47" s="72">
        <v>379229.74796000012</v>
      </c>
      <c r="C47" s="72">
        <v>157989.22708999991</v>
      </c>
      <c r="D47" s="72">
        <v>180534.19120999996</v>
      </c>
      <c r="E47" s="73">
        <f t="shared" si="1"/>
        <v>717753.16625999997</v>
      </c>
      <c r="F47" s="72">
        <v>406886.08504999999</v>
      </c>
      <c r="G47" s="72">
        <v>173607.91996999996</v>
      </c>
      <c r="H47" s="72">
        <v>219135.09667999993</v>
      </c>
      <c r="I47" s="74">
        <f t="shared" si="2"/>
        <v>799629.10169999988</v>
      </c>
      <c r="J47" s="75">
        <f t="shared" si="3"/>
        <v>7.2927657281034203E-2</v>
      </c>
      <c r="K47" s="75">
        <f t="shared" si="3"/>
        <v>9.885922709845732E-2</v>
      </c>
      <c r="L47" s="75">
        <f t="shared" si="3"/>
        <v>0.21381493007659055</v>
      </c>
      <c r="M47" s="76">
        <f t="shared" si="3"/>
        <v>0.11407255208170138</v>
      </c>
      <c r="N47" s="75">
        <f t="shared" si="4"/>
        <v>0.33778346398578746</v>
      </c>
      <c r="O47" s="75">
        <f t="shared" si="5"/>
        <v>0.1907604816490395</v>
      </c>
      <c r="P47" s="75">
        <f t="shared" si="6"/>
        <v>0.47145605436517268</v>
      </c>
      <c r="Q47" s="77"/>
    </row>
    <row r="48" spans="1:17">
      <c r="A48" s="78" t="s">
        <v>245</v>
      </c>
      <c r="B48" s="72">
        <v>83610.473919999989</v>
      </c>
      <c r="C48" s="72">
        <v>67666.132099999988</v>
      </c>
      <c r="D48" s="72">
        <v>101738.19737000002</v>
      </c>
      <c r="E48" s="73">
        <f t="shared" si="1"/>
        <v>253014.80339000002</v>
      </c>
      <c r="F48" s="72">
        <v>89499.802039999966</v>
      </c>
      <c r="G48" s="72">
        <v>85368.407380000019</v>
      </c>
      <c r="H48" s="72">
        <v>110119.75288000001</v>
      </c>
      <c r="I48" s="74">
        <f t="shared" si="2"/>
        <v>284987.96230000001</v>
      </c>
      <c r="J48" s="75">
        <f t="shared" si="3"/>
        <v>7.0437683748031277E-2</v>
      </c>
      <c r="K48" s="75">
        <f t="shared" si="3"/>
        <v>0.26161204624255496</v>
      </c>
      <c r="L48" s="75">
        <f t="shared" si="3"/>
        <v>8.2383566120383181E-2</v>
      </c>
      <c r="M48" s="76">
        <f t="shared" si="3"/>
        <v>0.12636872815981517</v>
      </c>
      <c r="N48" s="75">
        <f t="shared" si="4"/>
        <v>0.18419600442288536</v>
      </c>
      <c r="O48" s="75">
        <f t="shared" si="5"/>
        <v>0.55366050410688161</v>
      </c>
      <c r="P48" s="75">
        <f t="shared" si="6"/>
        <v>0.26214349147023308</v>
      </c>
      <c r="Q48" s="77"/>
    </row>
    <row r="49" spans="1:17">
      <c r="A49" s="78" t="s">
        <v>246</v>
      </c>
      <c r="B49" s="72">
        <v>36392.814229999989</v>
      </c>
      <c r="C49" s="72">
        <v>79910.320560000022</v>
      </c>
      <c r="D49" s="72">
        <v>70929.709260000003</v>
      </c>
      <c r="E49" s="73">
        <f t="shared" si="1"/>
        <v>187232.84405000001</v>
      </c>
      <c r="F49" s="72">
        <v>37651.912749999996</v>
      </c>
      <c r="G49" s="72">
        <v>96116.846510000018</v>
      </c>
      <c r="H49" s="72">
        <v>93716.093470000007</v>
      </c>
      <c r="I49" s="74">
        <f t="shared" si="2"/>
        <v>227484.85273000004</v>
      </c>
      <c r="J49" s="75">
        <f t="shared" si="3"/>
        <v>3.4597448607370511E-2</v>
      </c>
      <c r="K49" s="75">
        <f t="shared" si="3"/>
        <v>0.20280892175662663</v>
      </c>
      <c r="L49" s="75">
        <f t="shared" si="3"/>
        <v>0.32125303272390721</v>
      </c>
      <c r="M49" s="76">
        <f t="shared" si="3"/>
        <v>0.21498369521776234</v>
      </c>
      <c r="N49" s="75">
        <f t="shared" si="4"/>
        <v>3.1280389756688433E-2</v>
      </c>
      <c r="O49" s="75">
        <f t="shared" si="5"/>
        <v>0.40262651433970587</v>
      </c>
      <c r="P49" s="75">
        <f t="shared" si="6"/>
        <v>0.56609309590360513</v>
      </c>
      <c r="Q49" s="77"/>
    </row>
    <row r="50" spans="1:17">
      <c r="A50" s="78" t="s">
        <v>247</v>
      </c>
      <c r="B50" s="72">
        <v>21297.60083000001</v>
      </c>
      <c r="C50" s="72">
        <v>78546.895139999979</v>
      </c>
      <c r="D50" s="72">
        <v>72722.766099999993</v>
      </c>
      <c r="E50" s="73">
        <f t="shared" si="1"/>
        <v>172567.26207</v>
      </c>
      <c r="F50" s="72">
        <v>22412.781519999997</v>
      </c>
      <c r="G50" s="72">
        <v>87614.547239999985</v>
      </c>
      <c r="H50" s="72">
        <v>83565.881080000006</v>
      </c>
      <c r="I50" s="74">
        <f t="shared" si="2"/>
        <v>193593.20983999997</v>
      </c>
      <c r="J50" s="75">
        <f t="shared" si="3"/>
        <v>5.2361798819570884E-2</v>
      </c>
      <c r="K50" s="75">
        <f t="shared" si="3"/>
        <v>0.115442527471494</v>
      </c>
      <c r="L50" s="75">
        <f t="shared" si="3"/>
        <v>0.14910207025252323</v>
      </c>
      <c r="M50" s="76">
        <f t="shared" si="3"/>
        <v>0.12184204302593053</v>
      </c>
      <c r="N50" s="75">
        <f t="shared" si="4"/>
        <v>5.3038307818453603E-2</v>
      </c>
      <c r="O50" s="75">
        <f t="shared" si="5"/>
        <v>0.43126008868612442</v>
      </c>
      <c r="P50" s="75">
        <f t="shared" si="6"/>
        <v>0.51570160349542371</v>
      </c>
      <c r="Q50" s="77"/>
    </row>
    <row r="51" spans="1:17">
      <c r="A51" s="78" t="s">
        <v>248</v>
      </c>
      <c r="B51" s="72">
        <v>453508.22433000011</v>
      </c>
      <c r="C51" s="72">
        <v>27767.559089999999</v>
      </c>
      <c r="D51" s="72">
        <v>30900.457279999999</v>
      </c>
      <c r="E51" s="73">
        <f t="shared" si="1"/>
        <v>512176.24070000008</v>
      </c>
      <c r="F51" s="72">
        <v>610916.35870999983</v>
      </c>
      <c r="G51" s="72">
        <v>34837.472750000001</v>
      </c>
      <c r="H51" s="72">
        <v>69611.145480000007</v>
      </c>
      <c r="I51" s="74">
        <f t="shared" si="2"/>
        <v>715364.97693999973</v>
      </c>
      <c r="J51" s="75">
        <f t="shared" si="3"/>
        <v>0.34708992237693137</v>
      </c>
      <c r="K51" s="75">
        <f t="shared" si="3"/>
        <v>0.25461055604797861</v>
      </c>
      <c r="L51" s="75">
        <f t="shared" si="3"/>
        <v>1.2527545417606196</v>
      </c>
      <c r="M51" s="76">
        <f t="shared" si="3"/>
        <v>0.39671644268835687</v>
      </c>
      <c r="N51" s="75">
        <f t="shared" si="4"/>
        <v>0.77468927310062385</v>
      </c>
      <c r="O51" s="75">
        <f t="shared" si="5"/>
        <v>3.4794810927163106E-2</v>
      </c>
      <c r="P51" s="75">
        <f t="shared" si="6"/>
        <v>0.1905159159722134</v>
      </c>
      <c r="Q51" s="77"/>
    </row>
    <row r="52" spans="1:17">
      <c r="A52" s="78" t="s">
        <v>249</v>
      </c>
      <c r="B52" s="72">
        <v>72981.475530000011</v>
      </c>
      <c r="C52" s="72">
        <v>50966.279170000009</v>
      </c>
      <c r="D52" s="72">
        <v>117146.14487999995</v>
      </c>
      <c r="E52" s="73">
        <f t="shared" si="1"/>
        <v>241093.89957999997</v>
      </c>
      <c r="F52" s="72">
        <v>77174.195449999999</v>
      </c>
      <c r="G52" s="72">
        <v>56464.653439999987</v>
      </c>
      <c r="H52" s="72">
        <v>145586.26809999993</v>
      </c>
      <c r="I52" s="74">
        <f t="shared" si="2"/>
        <v>279225.11698999989</v>
      </c>
      <c r="J52" s="75">
        <f t="shared" si="3"/>
        <v>5.7449097727224153E-2</v>
      </c>
      <c r="K52" s="75">
        <f t="shared" si="3"/>
        <v>0.10788259138282269</v>
      </c>
      <c r="L52" s="75">
        <f t="shared" si="3"/>
        <v>0.24277472595562541</v>
      </c>
      <c r="M52" s="76">
        <f t="shared" si="3"/>
        <v>0.15815919638127215</v>
      </c>
      <c r="N52" s="75">
        <f t="shared" si="4"/>
        <v>0.10995505008189028</v>
      </c>
      <c r="O52" s="75">
        <f t="shared" si="5"/>
        <v>0.14419613753423011</v>
      </c>
      <c r="P52" s="75">
        <f t="shared" si="6"/>
        <v>0.74584881238388023</v>
      </c>
      <c r="Q52" s="77"/>
    </row>
    <row r="53" spans="1:17">
      <c r="A53" s="78" t="s">
        <v>250</v>
      </c>
      <c r="B53" s="72">
        <v>2432674.5141799981</v>
      </c>
      <c r="C53" s="72">
        <v>1444595.7023599998</v>
      </c>
      <c r="D53" s="72">
        <v>68869.817160000021</v>
      </c>
      <c r="E53" s="73">
        <f t="shared" si="1"/>
        <v>3946140.0336999977</v>
      </c>
      <c r="F53" s="72">
        <v>2549191.1340099974</v>
      </c>
      <c r="G53" s="72">
        <v>1512643.7947399977</v>
      </c>
      <c r="H53" s="72">
        <v>110938.08867999997</v>
      </c>
      <c r="I53" s="74">
        <f t="shared" si="2"/>
        <v>4172773.0174299954</v>
      </c>
      <c r="J53" s="75">
        <f t="shared" si="3"/>
        <v>4.7896510260960458E-2</v>
      </c>
      <c r="K53" s="75">
        <f t="shared" si="3"/>
        <v>4.7105285076530057E-2</v>
      </c>
      <c r="L53" s="75">
        <f t="shared" si="3"/>
        <v>0.61083756650995502</v>
      </c>
      <c r="M53" s="76">
        <f t="shared" si="3"/>
        <v>5.7431561423201952E-2</v>
      </c>
      <c r="N53" s="75">
        <f t="shared" si="4"/>
        <v>0.51412030990516799</v>
      </c>
      <c r="O53" s="75">
        <f t="shared" si="5"/>
        <v>0.30025679078146889</v>
      </c>
      <c r="P53" s="75">
        <f t="shared" si="6"/>
        <v>0.18562289931336107</v>
      </c>
      <c r="Q53" s="77"/>
    </row>
    <row r="54" spans="1:17">
      <c r="A54" s="78" t="s">
        <v>251</v>
      </c>
      <c r="B54" s="72">
        <v>112999.59629999999</v>
      </c>
      <c r="C54" s="72">
        <v>215974.21909</v>
      </c>
      <c r="D54" s="72">
        <v>133274.30953999996</v>
      </c>
      <c r="E54" s="73">
        <f t="shared" si="1"/>
        <v>462248.12492999993</v>
      </c>
      <c r="F54" s="72">
        <v>108299.97796</v>
      </c>
      <c r="G54" s="72">
        <v>243794.49980000014</v>
      </c>
      <c r="H54" s="72">
        <v>162120.86776999998</v>
      </c>
      <c r="I54" s="74">
        <f t="shared" si="2"/>
        <v>514215.34553000017</v>
      </c>
      <c r="J54" s="75">
        <f t="shared" si="3"/>
        <v>-4.1589691413791242E-2</v>
      </c>
      <c r="K54" s="75">
        <f t="shared" si="3"/>
        <v>0.12881297048888493</v>
      </c>
      <c r="L54" s="75">
        <f t="shared" si="3"/>
        <v>0.21644500226311233</v>
      </c>
      <c r="M54" s="76">
        <f t="shared" si="3"/>
        <v>0.11242278291095251</v>
      </c>
      <c r="N54" s="75">
        <f t="shared" si="4"/>
        <v>-9.0434283106531302E-2</v>
      </c>
      <c r="O54" s="75">
        <f t="shared" si="5"/>
        <v>0.53534286399761799</v>
      </c>
      <c r="P54" s="75">
        <f t="shared" si="6"/>
        <v>0.55509141910891213</v>
      </c>
      <c r="Q54" s="77"/>
    </row>
    <row r="55" spans="1:17">
      <c r="A55" s="78" t="s">
        <v>252</v>
      </c>
      <c r="B55" s="72">
        <v>86027.274109999955</v>
      </c>
      <c r="C55" s="72">
        <v>33134.18443999999</v>
      </c>
      <c r="D55" s="72">
        <v>83525.442490000001</v>
      </c>
      <c r="E55" s="73">
        <f t="shared" si="1"/>
        <v>202686.90103999997</v>
      </c>
      <c r="F55" s="72">
        <v>93849.332279999959</v>
      </c>
      <c r="G55" s="72">
        <v>38378.610830000012</v>
      </c>
      <c r="H55" s="72">
        <v>103804.03543</v>
      </c>
      <c r="I55" s="74">
        <f t="shared" si="2"/>
        <v>236031.97853999998</v>
      </c>
      <c r="J55" s="75">
        <f t="shared" si="3"/>
        <v>9.0925328634709757E-2</v>
      </c>
      <c r="K55" s="75">
        <f t="shared" si="3"/>
        <v>0.15827842087064883</v>
      </c>
      <c r="L55" s="75">
        <f t="shared" si="3"/>
        <v>0.24278342425336849</v>
      </c>
      <c r="M55" s="76">
        <f t="shared" si="3"/>
        <v>0.16451520709480585</v>
      </c>
      <c r="N55" s="75">
        <f t="shared" si="4"/>
        <v>0.23457909701964258</v>
      </c>
      <c r="O55" s="75">
        <f t="shared" si="5"/>
        <v>0.15727737894746294</v>
      </c>
      <c r="P55" s="75">
        <f t="shared" si="6"/>
        <v>0.60814352403289496</v>
      </c>
      <c r="Q55" s="77"/>
    </row>
    <row r="56" spans="1:17">
      <c r="A56" s="78" t="s">
        <v>253</v>
      </c>
      <c r="B56" s="72">
        <v>31467.165429999997</v>
      </c>
      <c r="C56" s="72">
        <v>82768.503500000021</v>
      </c>
      <c r="D56" s="72">
        <v>42588.085230000004</v>
      </c>
      <c r="E56" s="73">
        <f t="shared" si="1"/>
        <v>156823.75416000001</v>
      </c>
      <c r="F56" s="72">
        <v>39123.740610000008</v>
      </c>
      <c r="G56" s="72">
        <v>119542.86384999999</v>
      </c>
      <c r="H56" s="72">
        <v>57804.175749999995</v>
      </c>
      <c r="I56" s="74">
        <f t="shared" si="2"/>
        <v>216470.78021</v>
      </c>
      <c r="J56" s="75">
        <f t="shared" si="3"/>
        <v>0.24331950702812355</v>
      </c>
      <c r="K56" s="75">
        <f t="shared" si="3"/>
        <v>0.44430379667309033</v>
      </c>
      <c r="L56" s="75">
        <f t="shared" si="3"/>
        <v>0.35728515235715352</v>
      </c>
      <c r="M56" s="76">
        <f t="shared" si="3"/>
        <v>0.38034433220585251</v>
      </c>
      <c r="N56" s="75">
        <f t="shared" si="4"/>
        <v>0.12836474317398114</v>
      </c>
      <c r="O56" s="75">
        <f t="shared" si="5"/>
        <v>0.61653300734848593</v>
      </c>
      <c r="P56" s="75">
        <f t="shared" si="6"/>
        <v>0.25510224947753274</v>
      </c>
      <c r="Q56" s="77"/>
    </row>
    <row r="57" spans="1:17">
      <c r="A57" s="78" t="s">
        <v>254</v>
      </c>
      <c r="B57" s="72">
        <v>246879.78649999993</v>
      </c>
      <c r="C57" s="72">
        <v>98087.770140000008</v>
      </c>
      <c r="D57" s="72">
        <v>103503.30802000001</v>
      </c>
      <c r="E57" s="73">
        <f t="shared" si="1"/>
        <v>448470.86465999996</v>
      </c>
      <c r="F57" s="72">
        <v>229638.92312000005</v>
      </c>
      <c r="G57" s="72">
        <v>119593.08847</v>
      </c>
      <c r="H57" s="72">
        <v>141962.59838000001</v>
      </c>
      <c r="I57" s="74">
        <f t="shared" si="2"/>
        <v>491194.60997000011</v>
      </c>
      <c r="J57" s="75">
        <f t="shared" si="3"/>
        <v>-6.983505464105659E-2</v>
      </c>
      <c r="K57" s="75">
        <f t="shared" si="3"/>
        <v>0.21924566436065984</v>
      </c>
      <c r="L57" s="75">
        <f t="shared" si="3"/>
        <v>0.37157547034698141</v>
      </c>
      <c r="M57" s="76">
        <f t="shared" si="3"/>
        <v>9.5265375471805455E-2</v>
      </c>
      <c r="N57" s="75">
        <f t="shared" si="4"/>
        <v>-0.40354288358620077</v>
      </c>
      <c r="O57" s="75">
        <f t="shared" si="5"/>
        <v>0.50335751638717752</v>
      </c>
      <c r="P57" s="75">
        <f t="shared" si="6"/>
        <v>0.90018536719902265</v>
      </c>
      <c r="Q57" s="77"/>
    </row>
    <row r="58" spans="1:17">
      <c r="A58" s="78" t="s">
        <v>255</v>
      </c>
      <c r="B58" s="72">
        <v>418806.61504000006</v>
      </c>
      <c r="C58" s="72">
        <v>1274339.2441800006</v>
      </c>
      <c r="D58" s="72">
        <v>92612.186689999988</v>
      </c>
      <c r="E58" s="73">
        <f t="shared" si="1"/>
        <v>1785758.0459100006</v>
      </c>
      <c r="F58" s="72">
        <v>461635.09520999977</v>
      </c>
      <c r="G58" s="72">
        <v>1399574.8513000002</v>
      </c>
      <c r="H58" s="72">
        <v>123411.89833000008</v>
      </c>
      <c r="I58" s="74">
        <f t="shared" si="2"/>
        <v>1984621.8448399999</v>
      </c>
      <c r="J58" s="75">
        <f t="shared" si="3"/>
        <v>0.102263141583638</v>
      </c>
      <c r="K58" s="75">
        <f t="shared" si="3"/>
        <v>9.8274935573050629E-2</v>
      </c>
      <c r="L58" s="75">
        <f t="shared" si="3"/>
        <v>0.33256650923377629</v>
      </c>
      <c r="M58" s="76">
        <f t="shared" si="3"/>
        <v>0.11136099842051154</v>
      </c>
      <c r="N58" s="75">
        <f t="shared" si="4"/>
        <v>0.21536589565542524</v>
      </c>
      <c r="O58" s="75">
        <f t="shared" si="5"/>
        <v>0.62975568099291368</v>
      </c>
      <c r="P58" s="75">
        <f t="shared" si="6"/>
        <v>0.15487842335166133</v>
      </c>
      <c r="Q58" s="77"/>
    </row>
    <row r="59" spans="1:17">
      <c r="A59" s="78" t="s">
        <v>256</v>
      </c>
      <c r="B59" s="72">
        <v>231839.55077000003</v>
      </c>
      <c r="C59" s="72">
        <v>256795.27616999994</v>
      </c>
      <c r="D59" s="72">
        <v>98177.521830000012</v>
      </c>
      <c r="E59" s="73">
        <f t="shared" si="1"/>
        <v>586812.34876999992</v>
      </c>
      <c r="F59" s="72">
        <v>228200.96879000007</v>
      </c>
      <c r="G59" s="72">
        <v>272090.70865000004</v>
      </c>
      <c r="H59" s="72">
        <v>114651.06563</v>
      </c>
      <c r="I59" s="74">
        <f t="shared" si="2"/>
        <v>614942.74307000008</v>
      </c>
      <c r="J59" s="75">
        <f t="shared" si="3"/>
        <v>-1.5694397129028557E-2</v>
      </c>
      <c r="K59" s="75">
        <f t="shared" si="3"/>
        <v>5.9562748614871097E-2</v>
      </c>
      <c r="L59" s="75">
        <f t="shared" si="3"/>
        <v>0.16779343675556271</v>
      </c>
      <c r="M59" s="76">
        <f t="shared" si="3"/>
        <v>4.7937631781204762E-2</v>
      </c>
      <c r="N59" s="75">
        <f t="shared" si="4"/>
        <v>-0.12934699532455321</v>
      </c>
      <c r="O59" s="75">
        <f t="shared" si="5"/>
        <v>0.54373331268947123</v>
      </c>
      <c r="P59" s="75">
        <f t="shared" si="6"/>
        <v>0.58561368263508096</v>
      </c>
      <c r="Q59" s="77"/>
    </row>
    <row r="60" spans="1:17">
      <c r="A60" s="78" t="s">
        <v>257</v>
      </c>
      <c r="B60" s="72">
        <v>274358.29575999995</v>
      </c>
      <c r="C60" s="72">
        <v>608366.81186000002</v>
      </c>
      <c r="D60" s="72">
        <v>253887.74172999995</v>
      </c>
      <c r="E60" s="73">
        <f t="shared" si="1"/>
        <v>1136612.8493499998</v>
      </c>
      <c r="F60" s="72">
        <v>274433.45480000018</v>
      </c>
      <c r="G60" s="72">
        <v>651130.88741000008</v>
      </c>
      <c r="H60" s="72">
        <v>347109.77052000014</v>
      </c>
      <c r="I60" s="74">
        <f t="shared" si="2"/>
        <v>1272674.1127300004</v>
      </c>
      <c r="J60" s="75">
        <f t="shared" si="3"/>
        <v>2.7394484206148535E-4</v>
      </c>
      <c r="K60" s="75">
        <f t="shared" si="3"/>
        <v>7.0293242031488595E-2</v>
      </c>
      <c r="L60" s="75">
        <f t="shared" si="3"/>
        <v>0.367178140050331</v>
      </c>
      <c r="M60" s="76">
        <f t="shared" si="3"/>
        <v>0.11970765899559432</v>
      </c>
      <c r="N60" s="75">
        <f t="shared" si="4"/>
        <v>5.5239116654622338E-4</v>
      </c>
      <c r="O60" s="75">
        <f t="shared" si="5"/>
        <v>0.31430015044447895</v>
      </c>
      <c r="P60" s="75">
        <f t="shared" si="6"/>
        <v>0.68514745838897395</v>
      </c>
      <c r="Q60" s="77"/>
    </row>
    <row r="61" spans="1:17">
      <c r="A61" s="78" t="s">
        <v>258</v>
      </c>
      <c r="B61" s="72">
        <v>61564.777569999984</v>
      </c>
      <c r="C61" s="72">
        <v>48272.255239999999</v>
      </c>
      <c r="D61" s="72">
        <v>35309.041799999999</v>
      </c>
      <c r="E61" s="73">
        <f t="shared" si="1"/>
        <v>145146.07460999998</v>
      </c>
      <c r="F61" s="72">
        <v>65308.413580000008</v>
      </c>
      <c r="G61" s="72">
        <v>54832.027519999996</v>
      </c>
      <c r="H61" s="72">
        <v>45039.123070000001</v>
      </c>
      <c r="I61" s="74">
        <f t="shared" si="2"/>
        <v>165179.56417</v>
      </c>
      <c r="J61" s="75">
        <f t="shared" si="3"/>
        <v>6.0808081467417945E-2</v>
      </c>
      <c r="K61" s="75">
        <f t="shared" si="3"/>
        <v>0.13589115004853453</v>
      </c>
      <c r="L61" s="75">
        <f t="shared" si="3"/>
        <v>0.27556911130904727</v>
      </c>
      <c r="M61" s="76">
        <f t="shared" si="3"/>
        <v>0.13802295111203641</v>
      </c>
      <c r="N61" s="75">
        <f t="shared" si="4"/>
        <v>0.18686889265037362</v>
      </c>
      <c r="O61" s="75">
        <f t="shared" si="5"/>
        <v>0.32744032238385495</v>
      </c>
      <c r="P61" s="75">
        <f t="shared" si="6"/>
        <v>0.48569078496577178</v>
      </c>
      <c r="Q61" s="77"/>
    </row>
    <row r="62" spans="1:17">
      <c r="A62" s="78" t="s">
        <v>259</v>
      </c>
      <c r="B62" s="72">
        <v>253699.12409000017</v>
      </c>
      <c r="C62" s="72">
        <v>68220.264309999999</v>
      </c>
      <c r="D62" s="72">
        <v>188301.52748999995</v>
      </c>
      <c r="E62" s="73">
        <f t="shared" si="1"/>
        <v>510220.91589000012</v>
      </c>
      <c r="F62" s="72">
        <v>281865.52380999987</v>
      </c>
      <c r="G62" s="72">
        <v>91360.693899999969</v>
      </c>
      <c r="H62" s="72">
        <v>242143.91376</v>
      </c>
      <c r="I62" s="74">
        <f t="shared" si="2"/>
        <v>615370.13146999979</v>
      </c>
      <c r="J62" s="75">
        <f t="shared" si="3"/>
        <v>0.11102284968870299</v>
      </c>
      <c r="K62" s="75">
        <f t="shared" si="3"/>
        <v>0.33920169943709755</v>
      </c>
      <c r="L62" s="75">
        <f t="shared" si="3"/>
        <v>0.28593706587355977</v>
      </c>
      <c r="M62" s="76">
        <f t="shared" si="3"/>
        <v>0.20608566271059939</v>
      </c>
      <c r="N62" s="75">
        <f t="shared" si="4"/>
        <v>0.26787075457134651</v>
      </c>
      <c r="O62" s="75">
        <f t="shared" si="5"/>
        <v>0.22007229880278337</v>
      </c>
      <c r="P62" s="75">
        <f t="shared" si="6"/>
        <v>0.51205694662587053</v>
      </c>
      <c r="Q62" s="77"/>
    </row>
    <row r="63" spans="1:17">
      <c r="A63" s="78" t="s">
        <v>260</v>
      </c>
      <c r="B63" s="72">
        <v>88305.759960000039</v>
      </c>
      <c r="C63" s="72">
        <v>192489.72420000008</v>
      </c>
      <c r="D63" s="72">
        <v>31385.414999999997</v>
      </c>
      <c r="E63" s="73">
        <f t="shared" si="1"/>
        <v>312180.89916000009</v>
      </c>
      <c r="F63" s="72">
        <v>89319.961810000008</v>
      </c>
      <c r="G63" s="72">
        <v>200415.07135999997</v>
      </c>
      <c r="H63" s="72">
        <v>35013.131789999999</v>
      </c>
      <c r="I63" s="74">
        <f t="shared" si="2"/>
        <v>324748.16495999997</v>
      </c>
      <c r="J63" s="75">
        <f t="shared" si="3"/>
        <v>1.1485115472188594E-2</v>
      </c>
      <c r="K63" s="75">
        <f t="shared" si="3"/>
        <v>4.1172832435280124E-2</v>
      </c>
      <c r="L63" s="75">
        <f t="shared" si="3"/>
        <v>0.11558607047254282</v>
      </c>
      <c r="M63" s="76">
        <f t="shared" si="3"/>
        <v>4.0256357239713297E-2</v>
      </c>
      <c r="N63" s="75">
        <f t="shared" si="4"/>
        <v>8.07018699325973E-2</v>
      </c>
      <c r="O63" s="75">
        <f t="shared" si="5"/>
        <v>0.63063416387675719</v>
      </c>
      <c r="P63" s="75">
        <f t="shared" si="6"/>
        <v>0.28866396619064411</v>
      </c>
      <c r="Q63" s="77"/>
    </row>
    <row r="64" spans="1:17">
      <c r="A64" s="78" t="s">
        <v>261</v>
      </c>
      <c r="B64" s="72">
        <v>227120.85383000012</v>
      </c>
      <c r="C64" s="72">
        <v>143189.49432</v>
      </c>
      <c r="D64" s="72">
        <v>78869.408750000017</v>
      </c>
      <c r="E64" s="73">
        <f t="shared" si="1"/>
        <v>449179.75690000009</v>
      </c>
      <c r="F64" s="72">
        <v>190793.20606000006</v>
      </c>
      <c r="G64" s="72">
        <v>142197.47300999999</v>
      </c>
      <c r="H64" s="72">
        <v>96078.398190000036</v>
      </c>
      <c r="I64" s="74">
        <f t="shared" si="2"/>
        <v>429069.07726000011</v>
      </c>
      <c r="J64" s="75">
        <f t="shared" si="3"/>
        <v>-0.15994853470034637</v>
      </c>
      <c r="K64" s="75">
        <f t="shared" si="3"/>
        <v>-6.9280313804519836E-3</v>
      </c>
      <c r="L64" s="75">
        <f t="shared" si="3"/>
        <v>0.2181959990919802</v>
      </c>
      <c r="M64" s="76">
        <f t="shared" si="3"/>
        <v>-4.4772007934625567E-2</v>
      </c>
      <c r="N64" s="75">
        <f t="shared" si="4"/>
        <v>1.8063858815464722</v>
      </c>
      <c r="O64" s="75">
        <f t="shared" si="5"/>
        <v>4.9328084766806599E-2</v>
      </c>
      <c r="P64" s="75">
        <f t="shared" si="6"/>
        <v>-0.85571396631327523</v>
      </c>
      <c r="Q64" s="77"/>
    </row>
    <row r="65" spans="1:17">
      <c r="A65" s="78" t="s">
        <v>262</v>
      </c>
      <c r="B65" s="72">
        <v>3286575.2189299967</v>
      </c>
      <c r="C65" s="72">
        <v>2835422.9375800001</v>
      </c>
      <c r="D65" s="72">
        <v>327080.77463000017</v>
      </c>
      <c r="E65" s="73">
        <f t="shared" si="1"/>
        <v>6449078.9311399972</v>
      </c>
      <c r="F65" s="72">
        <v>3280683.1914299983</v>
      </c>
      <c r="G65" s="72">
        <v>2930244.2038000007</v>
      </c>
      <c r="H65" s="72">
        <v>357120.72906999942</v>
      </c>
      <c r="I65" s="74">
        <f t="shared" si="2"/>
        <v>6568048.1242999984</v>
      </c>
      <c r="J65" s="75">
        <f t="shared" si="3"/>
        <v>-1.7927560172855891E-3</v>
      </c>
      <c r="K65" s="75">
        <f t="shared" si="3"/>
        <v>3.3441665778767171E-2</v>
      </c>
      <c r="L65" s="75">
        <f t="shared" si="3"/>
        <v>9.1842617390095749E-2</v>
      </c>
      <c r="M65" s="76">
        <f t="shared" si="3"/>
        <v>1.8447470472961188E-2</v>
      </c>
      <c r="N65" s="75">
        <f t="shared" si="4"/>
        <v>-4.952565738656637E-2</v>
      </c>
      <c r="O65" s="75">
        <f t="shared" si="5"/>
        <v>0.79702369749180224</v>
      </c>
      <c r="P65" s="75">
        <f t="shared" si="6"/>
        <v>0.25250195989476565</v>
      </c>
      <c r="Q65" s="77"/>
    </row>
    <row r="66" spans="1:17">
      <c r="A66" s="78" t="s">
        <v>263</v>
      </c>
      <c r="B66" s="72">
        <v>18477.912879999996</v>
      </c>
      <c r="C66" s="72">
        <v>169343.95925999997</v>
      </c>
      <c r="D66" s="72">
        <v>34605.163549999983</v>
      </c>
      <c r="E66" s="73">
        <f t="shared" si="1"/>
        <v>222427.03568999993</v>
      </c>
      <c r="F66" s="72">
        <v>18569.104630000002</v>
      </c>
      <c r="G66" s="72">
        <v>194203.71714000005</v>
      </c>
      <c r="H66" s="72">
        <v>66244.451419999954</v>
      </c>
      <c r="I66" s="74">
        <f t="shared" si="2"/>
        <v>279017.27318999998</v>
      </c>
      <c r="J66" s="75">
        <f t="shared" si="3"/>
        <v>4.9351758822669279E-3</v>
      </c>
      <c r="K66" s="75">
        <f t="shared" si="3"/>
        <v>0.14680038183016603</v>
      </c>
      <c r="L66" s="75">
        <f t="shared" si="3"/>
        <v>0.91429384011681647</v>
      </c>
      <c r="M66" s="76">
        <f t="shared" si="3"/>
        <v>0.25442157840412327</v>
      </c>
      <c r="N66" s="75">
        <f t="shared" si="4"/>
        <v>1.6114396056387877E-3</v>
      </c>
      <c r="O66" s="75">
        <f t="shared" si="5"/>
        <v>0.43929410757465115</v>
      </c>
      <c r="P66" s="75">
        <f t="shared" si="6"/>
        <v>0.55909445281971015</v>
      </c>
      <c r="Q66" s="77"/>
    </row>
    <row r="67" spans="1:17">
      <c r="A67" s="78" t="s">
        <v>264</v>
      </c>
      <c r="B67" s="72">
        <v>26849.215099999994</v>
      </c>
      <c r="C67" s="72">
        <v>87062.899969999999</v>
      </c>
      <c r="D67" s="72">
        <v>25032.760030000001</v>
      </c>
      <c r="E67" s="73">
        <f t="shared" si="1"/>
        <v>138944.8751</v>
      </c>
      <c r="F67" s="72">
        <v>28997.864739999997</v>
      </c>
      <c r="G67" s="72">
        <v>107376.84065</v>
      </c>
      <c r="H67" s="72">
        <v>38730.300220000005</v>
      </c>
      <c r="I67" s="74">
        <f t="shared" si="2"/>
        <v>175105.00560999999</v>
      </c>
      <c r="J67" s="75">
        <f t="shared" si="3"/>
        <v>8.0026534555939541E-2</v>
      </c>
      <c r="K67" s="75">
        <f t="shared" si="3"/>
        <v>0.23332487990866083</v>
      </c>
      <c r="L67" s="75">
        <f t="shared" si="3"/>
        <v>0.54718457627462835</v>
      </c>
      <c r="M67" s="76">
        <f t="shared" si="3"/>
        <v>0.26024803350231651</v>
      </c>
      <c r="N67" s="75">
        <f t="shared" si="4"/>
        <v>5.9420406112909351E-2</v>
      </c>
      <c r="O67" s="75">
        <f t="shared" si="5"/>
        <v>0.56177730537731974</v>
      </c>
      <c r="P67" s="75">
        <f t="shared" si="6"/>
        <v>0.37880228850977143</v>
      </c>
      <c r="Q67" s="77"/>
    </row>
    <row r="68" spans="1:17">
      <c r="A68" s="78" t="s">
        <v>265</v>
      </c>
      <c r="B68" s="72">
        <v>251260.7327100001</v>
      </c>
      <c r="C68" s="72">
        <v>92376.384090000007</v>
      </c>
      <c r="D68" s="72">
        <v>86107.780899999998</v>
      </c>
      <c r="E68" s="73">
        <f t="shared" si="1"/>
        <v>429744.89770000009</v>
      </c>
      <c r="F68" s="72">
        <v>279190.83405000006</v>
      </c>
      <c r="G68" s="72">
        <v>105050.33047000004</v>
      </c>
      <c r="H68" s="72">
        <v>105413.89747999993</v>
      </c>
      <c r="I68" s="74">
        <f t="shared" si="2"/>
        <v>489655.06200000003</v>
      </c>
      <c r="J68" s="75">
        <f t="shared" si="3"/>
        <v>0.11115983400492709</v>
      </c>
      <c r="K68" s="75">
        <f t="shared" si="3"/>
        <v>0.1371989876509144</v>
      </c>
      <c r="L68" s="75">
        <f t="shared" si="3"/>
        <v>0.22420873442808614</v>
      </c>
      <c r="M68" s="76">
        <f t="shared" si="3"/>
        <v>0.13940866923758694</v>
      </c>
      <c r="N68" s="75">
        <f t="shared" si="4"/>
        <v>0.46619971195772519</v>
      </c>
      <c r="O68" s="75">
        <f t="shared" si="5"/>
        <v>0.21154918415071094</v>
      </c>
      <c r="P68" s="75">
        <f t="shared" si="6"/>
        <v>0.32225110389156364</v>
      </c>
      <c r="Q68" s="77"/>
    </row>
    <row r="69" spans="1:17">
      <c r="A69" s="78" t="s">
        <v>266</v>
      </c>
      <c r="B69" s="72">
        <v>154742.82294999994</v>
      </c>
      <c r="C69" s="72">
        <v>72816.538079999955</v>
      </c>
      <c r="D69" s="72">
        <v>66944.829010000016</v>
      </c>
      <c r="E69" s="73">
        <f t="shared" si="1"/>
        <v>294504.1900399999</v>
      </c>
      <c r="F69" s="72">
        <v>154448.80488000001</v>
      </c>
      <c r="G69" s="72">
        <v>90598.922750000012</v>
      </c>
      <c r="H69" s="72">
        <v>89331.208429999999</v>
      </c>
      <c r="I69" s="74">
        <f t="shared" si="2"/>
        <v>334378.93606000004</v>
      </c>
      <c r="J69" s="75">
        <f t="shared" si="3"/>
        <v>-1.9000433389723998E-3</v>
      </c>
      <c r="K69" s="75">
        <f t="shared" si="3"/>
        <v>0.24420804859554604</v>
      </c>
      <c r="L69" s="75">
        <f t="shared" si="3"/>
        <v>0.33440042720336133</v>
      </c>
      <c r="M69" s="76">
        <f t="shared" si="3"/>
        <v>0.13539619254511898</v>
      </c>
      <c r="N69" s="75">
        <f t="shared" si="4"/>
        <v>-7.3735408835572504E-3</v>
      </c>
      <c r="O69" s="75">
        <f t="shared" si="5"/>
        <v>0.44595606103875557</v>
      </c>
      <c r="P69" s="75">
        <f t="shared" si="6"/>
        <v>0.56141747984480095</v>
      </c>
      <c r="Q69" s="77"/>
    </row>
    <row r="70" spans="1:17">
      <c r="A70" s="78" t="s">
        <v>267</v>
      </c>
      <c r="B70" s="72">
        <v>82918.293719999972</v>
      </c>
      <c r="C70" s="72">
        <v>404671.96355000004</v>
      </c>
      <c r="D70" s="72">
        <v>135530.39451000007</v>
      </c>
      <c r="E70" s="73">
        <f t="shared" ref="E70:E104" si="7">SUM(B70:D70)</f>
        <v>623120.65178000007</v>
      </c>
      <c r="F70" s="72">
        <v>94018.137610000005</v>
      </c>
      <c r="G70" s="72">
        <v>483499.36313000025</v>
      </c>
      <c r="H70" s="72">
        <v>218219.73361000008</v>
      </c>
      <c r="I70" s="74">
        <f t="shared" ref="I70:I104" si="8">SUM(F70:H70)</f>
        <v>795737.23435000039</v>
      </c>
      <c r="J70" s="75">
        <f t="shared" ref="J70:M104" si="9">(F70-B70)/B70</f>
        <v>0.1338648372032617</v>
      </c>
      <c r="K70" s="75">
        <f t="shared" si="9"/>
        <v>0.19479333059914472</v>
      </c>
      <c r="L70" s="75">
        <f t="shared" si="9"/>
        <v>0.61011656757111266</v>
      </c>
      <c r="M70" s="76">
        <f t="shared" si="9"/>
        <v>0.27701951793269175</v>
      </c>
      <c r="N70" s="75">
        <f t="shared" ref="N70:N104" si="10">(F70-B70)/(I70-E70)</f>
        <v>6.4303462186193899E-2</v>
      </c>
      <c r="O70" s="75">
        <f t="shared" ref="O70:O104" si="11">(G70-C70)/(I70-E70)</f>
        <v>0.45666180158579917</v>
      </c>
      <c r="P70" s="75">
        <f t="shared" ref="P70:P104" si="12">(H70-D70)/(I70-E70)</f>
        <v>0.47903473622800652</v>
      </c>
      <c r="Q70" s="77"/>
    </row>
    <row r="71" spans="1:17">
      <c r="A71" s="78" t="s">
        <v>268</v>
      </c>
      <c r="B71" s="72">
        <v>133716.25152000005</v>
      </c>
      <c r="C71" s="72">
        <v>52801.805069999988</v>
      </c>
      <c r="D71" s="72">
        <v>44726.904570000006</v>
      </c>
      <c r="E71" s="73">
        <f t="shared" si="7"/>
        <v>231244.96116000006</v>
      </c>
      <c r="F71" s="72">
        <v>150791.18805999993</v>
      </c>
      <c r="G71" s="72">
        <v>60226.587720000018</v>
      </c>
      <c r="H71" s="72">
        <v>52421.890410000015</v>
      </c>
      <c r="I71" s="74">
        <f t="shared" si="8"/>
        <v>263439.66618999996</v>
      </c>
      <c r="J71" s="75">
        <f t="shared" si="9"/>
        <v>0.12769529766130161</v>
      </c>
      <c r="K71" s="75">
        <f t="shared" si="9"/>
        <v>0.1406160762905152</v>
      </c>
      <c r="L71" s="75">
        <f t="shared" si="9"/>
        <v>0.17204378246111224</v>
      </c>
      <c r="M71" s="76">
        <f t="shared" si="9"/>
        <v>0.13922337969441914</v>
      </c>
      <c r="N71" s="75">
        <f t="shared" si="10"/>
        <v>0.53036474550982815</v>
      </c>
      <c r="O71" s="75">
        <f t="shared" si="11"/>
        <v>0.2306212354820899</v>
      </c>
      <c r="P71" s="75">
        <f t="shared" si="12"/>
        <v>0.23901401900808264</v>
      </c>
      <c r="Q71" s="77"/>
    </row>
    <row r="72" spans="1:17">
      <c r="A72" s="78" t="s">
        <v>269</v>
      </c>
      <c r="B72" s="72">
        <v>29828.28613</v>
      </c>
      <c r="C72" s="72">
        <v>92029.974950000003</v>
      </c>
      <c r="D72" s="72">
        <v>43979.389370000004</v>
      </c>
      <c r="E72" s="73">
        <f t="shared" si="7"/>
        <v>165837.65045000002</v>
      </c>
      <c r="F72" s="72">
        <v>38963.912729999989</v>
      </c>
      <c r="G72" s="72">
        <v>119524.28495</v>
      </c>
      <c r="H72" s="72">
        <v>56040.612130000009</v>
      </c>
      <c r="I72" s="74">
        <f t="shared" si="8"/>
        <v>214528.80981000001</v>
      </c>
      <c r="J72" s="75">
        <f t="shared" si="9"/>
        <v>0.30627393609489922</v>
      </c>
      <c r="K72" s="75">
        <f t="shared" si="9"/>
        <v>0.29875385726158993</v>
      </c>
      <c r="L72" s="75">
        <f t="shared" si="9"/>
        <v>0.27424716288187978</v>
      </c>
      <c r="M72" s="76">
        <f t="shared" si="9"/>
        <v>0.29360738787529045</v>
      </c>
      <c r="N72" s="75">
        <f t="shared" si="10"/>
        <v>0.18762392845188541</v>
      </c>
      <c r="O72" s="75">
        <f t="shared" si="11"/>
        <v>0.56466739263117027</v>
      </c>
      <c r="P72" s="75">
        <f t="shared" si="12"/>
        <v>0.24770867891694429</v>
      </c>
      <c r="Q72" s="77"/>
    </row>
    <row r="73" spans="1:17">
      <c r="A73" s="78" t="s">
        <v>270</v>
      </c>
      <c r="B73" s="72">
        <v>587146.88746999972</v>
      </c>
      <c r="C73" s="72">
        <v>1287576.7575100008</v>
      </c>
      <c r="D73" s="72">
        <v>235914.02101</v>
      </c>
      <c r="E73" s="73">
        <f t="shared" si="7"/>
        <v>2110637.6659900006</v>
      </c>
      <c r="F73" s="72">
        <v>596144.77305999969</v>
      </c>
      <c r="G73" s="72">
        <v>1355436.2820699995</v>
      </c>
      <c r="H73" s="72">
        <v>284042.00087999995</v>
      </c>
      <c r="I73" s="74">
        <f t="shared" si="8"/>
        <v>2235623.0560099995</v>
      </c>
      <c r="J73" s="75">
        <f t="shared" si="9"/>
        <v>1.5324760774550999E-2</v>
      </c>
      <c r="K73" s="75">
        <f t="shared" si="9"/>
        <v>5.2703284805505332E-2</v>
      </c>
      <c r="L73" s="75">
        <f t="shared" si="9"/>
        <v>0.20400644126175055</v>
      </c>
      <c r="M73" s="76">
        <f t="shared" si="9"/>
        <v>5.9216885983778812E-2</v>
      </c>
      <c r="N73" s="75">
        <f t="shared" si="10"/>
        <v>7.1991499074893564E-2</v>
      </c>
      <c r="O73" s="75">
        <f t="shared" si="11"/>
        <v>0.54293965518002119</v>
      </c>
      <c r="P73" s="75">
        <f t="shared" si="12"/>
        <v>0.38506884574508271</v>
      </c>
      <c r="Q73" s="77"/>
    </row>
    <row r="74" spans="1:17">
      <c r="A74" s="78" t="s">
        <v>271</v>
      </c>
      <c r="B74" s="72">
        <v>996729.35491000023</v>
      </c>
      <c r="C74" s="72">
        <v>93029.673770000067</v>
      </c>
      <c r="D74" s="72">
        <v>104494.08165000001</v>
      </c>
      <c r="E74" s="73">
        <f t="shared" si="7"/>
        <v>1194253.1103300003</v>
      </c>
      <c r="F74" s="72">
        <v>1164273.27942</v>
      </c>
      <c r="G74" s="72">
        <v>127358.72541000007</v>
      </c>
      <c r="H74" s="72">
        <v>245541.46587999992</v>
      </c>
      <c r="I74" s="74">
        <f t="shared" si="8"/>
        <v>1537173.47071</v>
      </c>
      <c r="J74" s="75">
        <f t="shared" si="9"/>
        <v>0.16809369934241397</v>
      </c>
      <c r="K74" s="75">
        <f t="shared" si="9"/>
        <v>0.36901184588556879</v>
      </c>
      <c r="L74" s="75">
        <f t="shared" si="9"/>
        <v>1.3498121807743539</v>
      </c>
      <c r="M74" s="76">
        <f t="shared" si="9"/>
        <v>0.28714211201446466</v>
      </c>
      <c r="N74" s="75">
        <f t="shared" si="10"/>
        <v>0.4885796933268694</v>
      </c>
      <c r="O74" s="75">
        <f t="shared" si="11"/>
        <v>0.10010794226962498</v>
      </c>
      <c r="P74" s="75">
        <f t="shared" si="12"/>
        <v>0.4113123644035056</v>
      </c>
      <c r="Q74" s="77"/>
    </row>
    <row r="75" spans="1:17">
      <c r="A75" s="78" t="s">
        <v>272</v>
      </c>
      <c r="B75" s="72">
        <v>144407.23624999996</v>
      </c>
      <c r="C75" s="72">
        <v>545631.94574000023</v>
      </c>
      <c r="D75" s="72">
        <v>305471.65367000009</v>
      </c>
      <c r="E75" s="73">
        <f t="shared" si="7"/>
        <v>995510.83566000033</v>
      </c>
      <c r="F75" s="72">
        <v>136933.82121999998</v>
      </c>
      <c r="G75" s="72">
        <v>546719.34114999964</v>
      </c>
      <c r="H75" s="72">
        <v>318002.61226000002</v>
      </c>
      <c r="I75" s="74">
        <f t="shared" si="8"/>
        <v>1001655.7746299997</v>
      </c>
      <c r="J75" s="75">
        <f t="shared" si="9"/>
        <v>-5.1752358289455021E-2</v>
      </c>
      <c r="K75" s="75">
        <f t="shared" si="9"/>
        <v>1.992910089831088E-3</v>
      </c>
      <c r="L75" s="75">
        <f t="shared" si="9"/>
        <v>4.1021673989878896E-2</v>
      </c>
      <c r="M75" s="76">
        <f t="shared" si="9"/>
        <v>6.1726490057994882E-3</v>
      </c>
      <c r="N75" s="75">
        <f t="shared" si="10"/>
        <v>-1.2161902773138207</v>
      </c>
      <c r="O75" s="75">
        <f t="shared" si="11"/>
        <v>0.17695788604382767</v>
      </c>
      <c r="P75" s="75">
        <f t="shared" si="12"/>
        <v>2.0392323912700023</v>
      </c>
      <c r="Q75" s="77"/>
    </row>
    <row r="76" spans="1:17">
      <c r="A76" s="78" t="s">
        <v>273</v>
      </c>
      <c r="B76" s="72">
        <v>303801.95864999993</v>
      </c>
      <c r="C76" s="72">
        <v>276988.42944000004</v>
      </c>
      <c r="D76" s="72">
        <v>158087.67465000006</v>
      </c>
      <c r="E76" s="73">
        <f t="shared" si="7"/>
        <v>738878.06274000008</v>
      </c>
      <c r="F76" s="72">
        <v>339611.48064999998</v>
      </c>
      <c r="G76" s="72">
        <v>331548.60958999989</v>
      </c>
      <c r="H76" s="72">
        <v>188998.57807000002</v>
      </c>
      <c r="I76" s="74">
        <f t="shared" si="8"/>
        <v>860158.66830999986</v>
      </c>
      <c r="J76" s="75">
        <f t="shared" si="9"/>
        <v>0.11787126771376417</v>
      </c>
      <c r="K76" s="75">
        <f t="shared" si="9"/>
        <v>0.19697638728197644</v>
      </c>
      <c r="L76" s="75">
        <f t="shared" si="9"/>
        <v>0.19553012901502595</v>
      </c>
      <c r="M76" s="76">
        <f t="shared" si="9"/>
        <v>0.16414157042401809</v>
      </c>
      <c r="N76" s="75">
        <f t="shared" si="10"/>
        <v>0.29526173481490242</v>
      </c>
      <c r="O76" s="75">
        <f t="shared" si="11"/>
        <v>0.44986731302647759</v>
      </c>
      <c r="P76" s="75">
        <f t="shared" si="12"/>
        <v>0.25487095215862066</v>
      </c>
      <c r="Q76" s="77"/>
    </row>
    <row r="77" spans="1:17">
      <c r="A77" s="78" t="s">
        <v>274</v>
      </c>
      <c r="B77" s="72">
        <v>10946.09648</v>
      </c>
      <c r="C77" s="72">
        <v>97095.831879999969</v>
      </c>
      <c r="D77" s="72">
        <v>98021.504180000004</v>
      </c>
      <c r="E77" s="73">
        <f t="shared" si="7"/>
        <v>206063.43253999995</v>
      </c>
      <c r="F77" s="72">
        <v>11248.471820000001</v>
      </c>
      <c r="G77" s="72">
        <v>108383.00084000001</v>
      </c>
      <c r="H77" s="72">
        <v>106548.63623999999</v>
      </c>
      <c r="I77" s="74">
        <f t="shared" si="8"/>
        <v>226180.10889999999</v>
      </c>
      <c r="J77" s="75">
        <f t="shared" si="9"/>
        <v>2.7624033878422428E-2</v>
      </c>
      <c r="K77" s="75">
        <f t="shared" si="9"/>
        <v>0.11624771878930672</v>
      </c>
      <c r="L77" s="75">
        <f t="shared" si="9"/>
        <v>8.6992462841024618E-2</v>
      </c>
      <c r="M77" s="76">
        <f t="shared" si="9"/>
        <v>9.7623707962329012E-2</v>
      </c>
      <c r="N77" s="75">
        <f t="shared" si="10"/>
        <v>1.5031078424129894E-2</v>
      </c>
      <c r="O77" s="75">
        <f t="shared" si="11"/>
        <v>0.56108517918215473</v>
      </c>
      <c r="P77" s="75">
        <f t="shared" si="12"/>
        <v>0.42388374239371474</v>
      </c>
      <c r="Q77" s="77"/>
    </row>
    <row r="78" spans="1:17">
      <c r="A78" s="78" t="s">
        <v>275</v>
      </c>
      <c r="B78" s="72">
        <v>59761.606219999965</v>
      </c>
      <c r="C78" s="72">
        <v>403088.6233299998</v>
      </c>
      <c r="D78" s="72">
        <v>97420.480259999997</v>
      </c>
      <c r="E78" s="73">
        <f t="shared" si="7"/>
        <v>560270.7098099998</v>
      </c>
      <c r="F78" s="72">
        <v>60131.506369999988</v>
      </c>
      <c r="G78" s="72">
        <v>416440.37718999997</v>
      </c>
      <c r="H78" s="72">
        <v>108613.48475000002</v>
      </c>
      <c r="I78" s="74">
        <f t="shared" si="8"/>
        <v>585185.36831000005</v>
      </c>
      <c r="J78" s="75">
        <f t="shared" si="9"/>
        <v>6.1895951832069643E-3</v>
      </c>
      <c r="K78" s="75">
        <f t="shared" si="9"/>
        <v>3.3123618696301892E-2</v>
      </c>
      <c r="L78" s="75">
        <f t="shared" si="9"/>
        <v>0.11489375191055973</v>
      </c>
      <c r="M78" s="76">
        <f t="shared" si="9"/>
        <v>4.4468964848170207E-2</v>
      </c>
      <c r="N78" s="75">
        <f t="shared" si="10"/>
        <v>1.4846687543400178E-2</v>
      </c>
      <c r="O78" s="75">
        <f t="shared" si="11"/>
        <v>0.53589953320050665</v>
      </c>
      <c r="P78" s="75">
        <f t="shared" si="12"/>
        <v>0.44925377925609167</v>
      </c>
      <c r="Q78" s="77"/>
    </row>
    <row r="79" spans="1:17">
      <c r="A79" s="78" t="s">
        <v>276</v>
      </c>
      <c r="B79" s="72">
        <v>25488.478190000002</v>
      </c>
      <c r="C79" s="72">
        <v>43096.829369999999</v>
      </c>
      <c r="D79" s="72">
        <v>33819.84663</v>
      </c>
      <c r="E79" s="73">
        <f t="shared" si="7"/>
        <v>102405.15419</v>
      </c>
      <c r="F79" s="72">
        <v>27851.391699999989</v>
      </c>
      <c r="G79" s="72">
        <v>56773.736430000004</v>
      </c>
      <c r="H79" s="72">
        <v>59070.772339999996</v>
      </c>
      <c r="I79" s="74">
        <f t="shared" si="8"/>
        <v>143695.90046999999</v>
      </c>
      <c r="J79" s="75">
        <f t="shared" si="9"/>
        <v>9.2705162402635682E-2</v>
      </c>
      <c r="K79" s="75">
        <f t="shared" si="9"/>
        <v>0.31735297607578977</v>
      </c>
      <c r="L79" s="75">
        <f t="shared" si="9"/>
        <v>0.74663040274112547</v>
      </c>
      <c r="M79" s="76">
        <f t="shared" si="9"/>
        <v>0.40320964903182666</v>
      </c>
      <c r="N79" s="75">
        <f t="shared" si="10"/>
        <v>5.722622434519941E-2</v>
      </c>
      <c r="O79" s="75">
        <f t="shared" si="11"/>
        <v>0.33123419391004544</v>
      </c>
      <c r="P79" s="75">
        <f t="shared" si="12"/>
        <v>0.61153958174475509</v>
      </c>
      <c r="Q79" s="77"/>
    </row>
    <row r="80" spans="1:17">
      <c r="A80" s="78" t="s">
        <v>277</v>
      </c>
      <c r="B80" s="72">
        <v>128946.22855</v>
      </c>
      <c r="C80" s="72">
        <v>52174.907670000015</v>
      </c>
      <c r="D80" s="72">
        <v>125290.41360999997</v>
      </c>
      <c r="E80" s="73">
        <f t="shared" si="7"/>
        <v>306411.54982999997</v>
      </c>
      <c r="F80" s="72">
        <v>160887.54585000002</v>
      </c>
      <c r="G80" s="72">
        <v>89883.314209999982</v>
      </c>
      <c r="H80" s="72">
        <v>179772.29986000012</v>
      </c>
      <c r="I80" s="74">
        <f t="shared" si="8"/>
        <v>430543.15992000012</v>
      </c>
      <c r="J80" s="75">
        <f t="shared" si="9"/>
        <v>0.2477103646937181</v>
      </c>
      <c r="K80" s="75">
        <f t="shared" si="9"/>
        <v>0.72273068078052161</v>
      </c>
      <c r="L80" s="75">
        <f t="shared" si="9"/>
        <v>0.43484481118874446</v>
      </c>
      <c r="M80" s="76">
        <f t="shared" si="9"/>
        <v>0.40511400486982146</v>
      </c>
      <c r="N80" s="75">
        <f t="shared" si="10"/>
        <v>0.2573181583388901</v>
      </c>
      <c r="O80" s="75">
        <f t="shared" si="11"/>
        <v>0.30377763176244904</v>
      </c>
      <c r="P80" s="75">
        <f t="shared" si="12"/>
        <v>0.43890420989866075</v>
      </c>
      <c r="Q80" s="77"/>
    </row>
    <row r="81" spans="1:17">
      <c r="A81" s="78" t="s">
        <v>278</v>
      </c>
      <c r="B81" s="72">
        <v>84210.793549999988</v>
      </c>
      <c r="C81" s="72">
        <v>213488.48469000001</v>
      </c>
      <c r="D81" s="72">
        <v>124655.77215000002</v>
      </c>
      <c r="E81" s="73">
        <f t="shared" si="7"/>
        <v>422355.05039000005</v>
      </c>
      <c r="F81" s="72">
        <v>86637.417929999996</v>
      </c>
      <c r="G81" s="72">
        <v>241854.53891999996</v>
      </c>
      <c r="H81" s="72">
        <v>156707.84970000002</v>
      </c>
      <c r="I81" s="74">
        <f t="shared" si="8"/>
        <v>485199.80654999998</v>
      </c>
      <c r="J81" s="75">
        <f t="shared" si="9"/>
        <v>2.8816073067393731E-2</v>
      </c>
      <c r="K81" s="75">
        <f t="shared" si="9"/>
        <v>0.13286924712210785</v>
      </c>
      <c r="L81" s="75">
        <f t="shared" si="9"/>
        <v>0.257124696250979</v>
      </c>
      <c r="M81" s="76">
        <f t="shared" si="9"/>
        <v>0.14879603334201752</v>
      </c>
      <c r="N81" s="75">
        <f t="shared" si="10"/>
        <v>3.861299698294527E-2</v>
      </c>
      <c r="O81" s="75">
        <f t="shared" si="11"/>
        <v>0.45136708236692413</v>
      </c>
      <c r="P81" s="75">
        <f t="shared" si="12"/>
        <v>0.51001992065013113</v>
      </c>
      <c r="Q81" s="77"/>
    </row>
    <row r="82" spans="1:17">
      <c r="A82" s="78" t="s">
        <v>279</v>
      </c>
      <c r="B82" s="72">
        <v>375686.03612000024</v>
      </c>
      <c r="C82" s="72">
        <v>413528.75462999986</v>
      </c>
      <c r="D82" s="72">
        <v>245601.17065999995</v>
      </c>
      <c r="E82" s="73">
        <f t="shared" si="7"/>
        <v>1034815.9614100001</v>
      </c>
      <c r="F82" s="72">
        <v>456299.51493</v>
      </c>
      <c r="G82" s="72">
        <v>500790.27293000009</v>
      </c>
      <c r="H82" s="72">
        <v>340852.0317799999</v>
      </c>
      <c r="I82" s="74">
        <f t="shared" si="8"/>
        <v>1297941.8196399999</v>
      </c>
      <c r="J82" s="75">
        <f t="shared" si="9"/>
        <v>0.21457672380522153</v>
      </c>
      <c r="K82" s="75">
        <f t="shared" si="9"/>
        <v>0.21101680916500348</v>
      </c>
      <c r="L82" s="75">
        <f t="shared" si="9"/>
        <v>0.38782739049668979</v>
      </c>
      <c r="M82" s="76">
        <f t="shared" si="9"/>
        <v>0.25427309593434827</v>
      </c>
      <c r="N82" s="75">
        <f t="shared" si="10"/>
        <v>0.30636851639087131</v>
      </c>
      <c r="O82" s="75">
        <f t="shared" si="11"/>
        <v>0.33163414225797772</v>
      </c>
      <c r="P82" s="75">
        <f t="shared" si="12"/>
        <v>0.36199734135115164</v>
      </c>
      <c r="Q82" s="77"/>
    </row>
    <row r="83" spans="1:17">
      <c r="A83" s="78" t="s">
        <v>280</v>
      </c>
      <c r="B83" s="72">
        <v>88703.797960000054</v>
      </c>
      <c r="C83" s="72">
        <v>157221.91896999991</v>
      </c>
      <c r="D83" s="72">
        <v>147475.51395999998</v>
      </c>
      <c r="E83" s="73">
        <f t="shared" si="7"/>
        <v>393401.23088999995</v>
      </c>
      <c r="F83" s="72">
        <v>86606.88870999997</v>
      </c>
      <c r="G83" s="72">
        <v>168194.62909000006</v>
      </c>
      <c r="H83" s="72">
        <v>161692.39122000002</v>
      </c>
      <c r="I83" s="74">
        <f t="shared" si="8"/>
        <v>416493.90902000002</v>
      </c>
      <c r="J83" s="75">
        <f t="shared" si="9"/>
        <v>-2.3639452855735231E-2</v>
      </c>
      <c r="K83" s="75">
        <f t="shared" si="9"/>
        <v>6.9791223716674594E-2</v>
      </c>
      <c r="L83" s="75">
        <f t="shared" si="9"/>
        <v>9.6401611889659886E-2</v>
      </c>
      <c r="M83" s="76">
        <f t="shared" si="9"/>
        <v>5.8700065777010958E-2</v>
      </c>
      <c r="N83" s="75">
        <f t="shared" si="10"/>
        <v>-9.0804073836544555E-2</v>
      </c>
      <c r="O83" s="75">
        <f t="shared" si="11"/>
        <v>0.47515970465743956</v>
      </c>
      <c r="P83" s="75">
        <f t="shared" si="12"/>
        <v>0.61564436917910625</v>
      </c>
      <c r="Q83" s="77"/>
    </row>
    <row r="84" spans="1:17">
      <c r="A84" s="78" t="s">
        <v>281</v>
      </c>
      <c r="B84" s="72">
        <v>203331.51614000005</v>
      </c>
      <c r="C84" s="72">
        <v>306862.75765999994</v>
      </c>
      <c r="D84" s="72">
        <v>154413.97284999996</v>
      </c>
      <c r="E84" s="73">
        <f t="shared" si="7"/>
        <v>664608.24664999987</v>
      </c>
      <c r="F84" s="72">
        <v>234328.40014999994</v>
      </c>
      <c r="G84" s="72">
        <v>340050.78782999999</v>
      </c>
      <c r="H84" s="72">
        <v>212491.63467999996</v>
      </c>
      <c r="I84" s="74">
        <f t="shared" si="8"/>
        <v>786870.82265999983</v>
      </c>
      <c r="J84" s="75">
        <f t="shared" si="9"/>
        <v>0.15244505425640745</v>
      </c>
      <c r="K84" s="75">
        <f t="shared" si="9"/>
        <v>0.10815268174957862</v>
      </c>
      <c r="L84" s="75">
        <f t="shared" si="9"/>
        <v>0.37611662181904681</v>
      </c>
      <c r="M84" s="76">
        <f t="shared" si="9"/>
        <v>0.18396187020891216</v>
      </c>
      <c r="N84" s="75">
        <f t="shared" si="10"/>
        <v>0.25352716278008597</v>
      </c>
      <c r="O84" s="75">
        <f t="shared" si="11"/>
        <v>0.27144880512975256</v>
      </c>
      <c r="P84" s="75">
        <f t="shared" si="12"/>
        <v>0.47502403209016125</v>
      </c>
      <c r="Q84" s="77"/>
    </row>
    <row r="85" spans="1:17">
      <c r="A85" s="78" t="s">
        <v>282</v>
      </c>
      <c r="B85" s="72">
        <v>122821.02863999999</v>
      </c>
      <c r="C85" s="72">
        <v>159709.76534000001</v>
      </c>
      <c r="D85" s="72">
        <v>35607.115969999999</v>
      </c>
      <c r="E85" s="73">
        <f t="shared" si="7"/>
        <v>318137.90995</v>
      </c>
      <c r="F85" s="72">
        <v>138626.38361000005</v>
      </c>
      <c r="G85" s="72">
        <v>176872.71270999988</v>
      </c>
      <c r="H85" s="72">
        <v>58090.641600000003</v>
      </c>
      <c r="I85" s="74">
        <f t="shared" si="8"/>
        <v>373589.73791999987</v>
      </c>
      <c r="J85" s="75">
        <f t="shared" si="9"/>
        <v>0.12868606577402183</v>
      </c>
      <c r="K85" s="75">
        <f t="shared" si="9"/>
        <v>0.10746335600370034</v>
      </c>
      <c r="L85" s="75">
        <f t="shared" si="9"/>
        <v>0.63143349348885791</v>
      </c>
      <c r="M85" s="76">
        <f t="shared" si="9"/>
        <v>0.17430122671867346</v>
      </c>
      <c r="N85" s="75">
        <f t="shared" si="10"/>
        <v>0.28502856530808962</v>
      </c>
      <c r="O85" s="75">
        <f t="shared" si="11"/>
        <v>0.30951093946416397</v>
      </c>
      <c r="P85" s="75">
        <f t="shared" si="12"/>
        <v>0.40546049522774746</v>
      </c>
      <c r="Q85" s="77"/>
    </row>
    <row r="86" spans="1:17">
      <c r="A86" s="78" t="s">
        <v>283</v>
      </c>
      <c r="B86" s="72">
        <v>399848.45134999999</v>
      </c>
      <c r="C86" s="72">
        <v>57399.470499999967</v>
      </c>
      <c r="D86" s="72">
        <v>143956.99199999997</v>
      </c>
      <c r="E86" s="73">
        <f t="shared" si="7"/>
        <v>601204.9138499999</v>
      </c>
      <c r="F86" s="72">
        <v>467120.82146000018</v>
      </c>
      <c r="G86" s="72">
        <v>79021.447630000024</v>
      </c>
      <c r="H86" s="72">
        <v>216879.78312000004</v>
      </c>
      <c r="I86" s="74">
        <f t="shared" si="8"/>
        <v>763022.05221000023</v>
      </c>
      <c r="J86" s="75">
        <f t="shared" si="9"/>
        <v>0.16824466840591704</v>
      </c>
      <c r="K86" s="75">
        <f t="shared" si="9"/>
        <v>0.37669297193255591</v>
      </c>
      <c r="L86" s="75">
        <f t="shared" si="9"/>
        <v>0.50655956412315206</v>
      </c>
      <c r="M86" s="76">
        <f t="shared" si="9"/>
        <v>0.26915471685644532</v>
      </c>
      <c r="N86" s="75">
        <f t="shared" si="10"/>
        <v>0.41573081066565992</v>
      </c>
      <c r="O86" s="75">
        <f t="shared" si="11"/>
        <v>0.13361982141778381</v>
      </c>
      <c r="P86" s="75">
        <f t="shared" si="12"/>
        <v>0.45064936791655619</v>
      </c>
      <c r="Q86" s="77"/>
    </row>
    <row r="87" spans="1:17">
      <c r="A87" s="78" t="s">
        <v>284</v>
      </c>
      <c r="B87" s="72">
        <v>603720.55718999996</v>
      </c>
      <c r="C87" s="72">
        <v>277414.42755000008</v>
      </c>
      <c r="D87" s="72">
        <v>72154.092829999994</v>
      </c>
      <c r="E87" s="73">
        <f t="shared" si="7"/>
        <v>953289.07756999996</v>
      </c>
      <c r="F87" s="72">
        <v>681735.83372000058</v>
      </c>
      <c r="G87" s="72">
        <v>300427.44141000014</v>
      </c>
      <c r="H87" s="72">
        <v>88950.811879999979</v>
      </c>
      <c r="I87" s="74">
        <f t="shared" si="8"/>
        <v>1071114.0870100006</v>
      </c>
      <c r="J87" s="75">
        <f t="shared" si="9"/>
        <v>0.1292241511422445</v>
      </c>
      <c r="K87" s="75">
        <f t="shared" si="9"/>
        <v>8.2955360552948498E-2</v>
      </c>
      <c r="L87" s="75">
        <f t="shared" si="9"/>
        <v>0.23278955345712973</v>
      </c>
      <c r="M87" s="76">
        <f t="shared" si="9"/>
        <v>0.12359840494590031</v>
      </c>
      <c r="N87" s="75">
        <f t="shared" si="10"/>
        <v>0.66212832827930213</v>
      </c>
      <c r="O87" s="75">
        <f t="shared" si="11"/>
        <v>0.19531518791618557</v>
      </c>
      <c r="P87" s="75">
        <f t="shared" si="12"/>
        <v>0.14255648380451252</v>
      </c>
      <c r="Q87" s="77"/>
    </row>
    <row r="88" spans="1:17">
      <c r="A88" s="78" t="s">
        <v>285</v>
      </c>
      <c r="B88" s="72">
        <v>755921.18674000038</v>
      </c>
      <c r="C88" s="72">
        <v>615213.51467999991</v>
      </c>
      <c r="D88" s="72">
        <v>94755.249509999965</v>
      </c>
      <c r="E88" s="73">
        <f t="shared" si="7"/>
        <v>1465889.9509300003</v>
      </c>
      <c r="F88" s="72">
        <v>790511.67428000004</v>
      </c>
      <c r="G88" s="72">
        <v>669524.76547999948</v>
      </c>
      <c r="H88" s="72">
        <v>115006.43947000007</v>
      </c>
      <c r="I88" s="74">
        <f t="shared" si="8"/>
        <v>1575042.8792299996</v>
      </c>
      <c r="J88" s="75">
        <f t="shared" si="9"/>
        <v>4.5759383579623197E-2</v>
      </c>
      <c r="K88" s="75">
        <f t="shared" si="9"/>
        <v>8.8280327892746771E-2</v>
      </c>
      <c r="L88" s="75">
        <f t="shared" si="9"/>
        <v>0.21372103460993896</v>
      </c>
      <c r="M88" s="76">
        <f t="shared" si="9"/>
        <v>7.4461884557397884E-2</v>
      </c>
      <c r="N88" s="75">
        <f t="shared" si="10"/>
        <v>0.3168993088754346</v>
      </c>
      <c r="O88" s="75">
        <f t="shared" si="11"/>
        <v>0.49757025895566293</v>
      </c>
      <c r="P88" s="75">
        <f t="shared" si="12"/>
        <v>0.18553043216890253</v>
      </c>
      <c r="Q88" s="77"/>
    </row>
    <row r="89" spans="1:17">
      <c r="A89" s="78" t="s">
        <v>286</v>
      </c>
      <c r="B89" s="72">
        <v>357767.22932999983</v>
      </c>
      <c r="C89" s="72">
        <v>179840.07600000003</v>
      </c>
      <c r="D89" s="72">
        <v>43935.33447999999</v>
      </c>
      <c r="E89" s="73">
        <f t="shared" si="7"/>
        <v>581542.63980999985</v>
      </c>
      <c r="F89" s="72">
        <v>383240.19530000002</v>
      </c>
      <c r="G89" s="72">
        <v>192269.30583999996</v>
      </c>
      <c r="H89" s="72">
        <v>45350.13546000002</v>
      </c>
      <c r="I89" s="74">
        <f t="shared" si="8"/>
        <v>620859.63659999997</v>
      </c>
      <c r="J89" s="75">
        <f t="shared" si="9"/>
        <v>7.1199830173669321E-2</v>
      </c>
      <c r="K89" s="75">
        <f t="shared" si="9"/>
        <v>6.9112681202380746E-2</v>
      </c>
      <c r="L89" s="75">
        <f t="shared" si="9"/>
        <v>3.2201893913976397E-2</v>
      </c>
      <c r="M89" s="76">
        <f t="shared" si="9"/>
        <v>6.7608106609079732E-2</v>
      </c>
      <c r="N89" s="75">
        <f t="shared" si="10"/>
        <v>0.64788686954032526</v>
      </c>
      <c r="O89" s="75">
        <f t="shared" si="11"/>
        <v>0.31612866838194459</v>
      </c>
      <c r="P89" s="75">
        <f t="shared" si="12"/>
        <v>3.5984462077730955E-2</v>
      </c>
      <c r="Q89" s="77"/>
    </row>
    <row r="90" spans="1:17">
      <c r="A90" s="78" t="s">
        <v>287</v>
      </c>
      <c r="B90" s="72">
        <v>31210.014060000001</v>
      </c>
      <c r="C90" s="72">
        <v>110570.61271000003</v>
      </c>
      <c r="D90" s="72">
        <v>85883.154799999975</v>
      </c>
      <c r="E90" s="73">
        <f t="shared" si="7"/>
        <v>227663.78156999999</v>
      </c>
      <c r="F90" s="72">
        <v>30009.184240000006</v>
      </c>
      <c r="G90" s="72">
        <v>109016.78291000002</v>
      </c>
      <c r="H90" s="72">
        <v>91367.198089999962</v>
      </c>
      <c r="I90" s="74">
        <f t="shared" si="8"/>
        <v>230393.16524</v>
      </c>
      <c r="J90" s="75">
        <f t="shared" si="9"/>
        <v>-3.8475785934971009E-2</v>
      </c>
      <c r="K90" s="75">
        <f t="shared" si="9"/>
        <v>-1.4052827979486072E-2</v>
      </c>
      <c r="L90" s="75">
        <f t="shared" si="9"/>
        <v>6.3854702389204598E-2</v>
      </c>
      <c r="M90" s="76">
        <f t="shared" si="9"/>
        <v>1.198865999316103E-2</v>
      </c>
      <c r="N90" s="75">
        <f t="shared" si="10"/>
        <v>-0.43996372998010608</v>
      </c>
      <c r="O90" s="75">
        <f t="shared" si="11"/>
        <v>-0.56929695047233908</v>
      </c>
      <c r="P90" s="75">
        <f t="shared" si="12"/>
        <v>2.009260680452436</v>
      </c>
      <c r="Q90" s="77"/>
    </row>
    <row r="91" spans="1:17">
      <c r="A91" s="78" t="s">
        <v>288</v>
      </c>
      <c r="B91" s="72">
        <v>356109.27083000029</v>
      </c>
      <c r="C91" s="72">
        <v>614718.26953999978</v>
      </c>
      <c r="D91" s="72">
        <v>116612.78903999997</v>
      </c>
      <c r="E91" s="73">
        <f t="shared" si="7"/>
        <v>1087440.32941</v>
      </c>
      <c r="F91" s="72">
        <v>404113.37814000016</v>
      </c>
      <c r="G91" s="72">
        <v>724155.35686000017</v>
      </c>
      <c r="H91" s="72">
        <v>148999.50803999996</v>
      </c>
      <c r="I91" s="74">
        <f t="shared" si="8"/>
        <v>1277268.2430400003</v>
      </c>
      <c r="J91" s="75">
        <f t="shared" si="9"/>
        <v>0.13480162198000206</v>
      </c>
      <c r="K91" s="75">
        <f t="shared" si="9"/>
        <v>0.17802803779021134</v>
      </c>
      <c r="L91" s="75">
        <f t="shared" si="9"/>
        <v>0.27772870597315741</v>
      </c>
      <c r="M91" s="76">
        <f t="shared" si="9"/>
        <v>0.17456398157772304</v>
      </c>
      <c r="N91" s="75">
        <f t="shared" si="10"/>
        <v>0.25288223629516482</v>
      </c>
      <c r="O91" s="75">
        <f t="shared" si="11"/>
        <v>0.57650682255986729</v>
      </c>
      <c r="P91" s="75">
        <f t="shared" si="12"/>
        <v>0.17061094114496764</v>
      </c>
      <c r="Q91" s="77"/>
    </row>
    <row r="92" spans="1:17">
      <c r="A92" s="78" t="s">
        <v>289</v>
      </c>
      <c r="B92" s="72">
        <v>57128.543390000006</v>
      </c>
      <c r="C92" s="72">
        <v>101518.97661000003</v>
      </c>
      <c r="D92" s="72">
        <v>102102.57361999995</v>
      </c>
      <c r="E92" s="73">
        <f t="shared" si="7"/>
        <v>260750.09361999997</v>
      </c>
      <c r="F92" s="72">
        <v>56666.842760000007</v>
      </c>
      <c r="G92" s="72">
        <v>105066.57305999997</v>
      </c>
      <c r="H92" s="72">
        <v>107362.29483000003</v>
      </c>
      <c r="I92" s="74">
        <f t="shared" si="8"/>
        <v>269095.71065000002</v>
      </c>
      <c r="J92" s="75">
        <f t="shared" si="9"/>
        <v>-8.0817854368892793E-3</v>
      </c>
      <c r="K92" s="75">
        <f t="shared" si="9"/>
        <v>3.494515575771167E-2</v>
      </c>
      <c r="L92" s="75">
        <f t="shared" si="9"/>
        <v>5.1514090424159463E-2</v>
      </c>
      <c r="M92" s="76">
        <f t="shared" si="9"/>
        <v>3.2006189965793089E-2</v>
      </c>
      <c r="N92" s="75">
        <f t="shared" si="10"/>
        <v>-5.5322527781986715E-2</v>
      </c>
      <c r="O92" s="75">
        <f t="shared" si="11"/>
        <v>0.42508498020546204</v>
      </c>
      <c r="P92" s="75">
        <f t="shared" si="12"/>
        <v>0.63023754757652029</v>
      </c>
      <c r="Q92" s="77"/>
    </row>
    <row r="93" spans="1:17">
      <c r="A93" s="78" t="s">
        <v>290</v>
      </c>
      <c r="B93" s="72">
        <v>146961.76553999999</v>
      </c>
      <c r="C93" s="72">
        <v>628152.61244000029</v>
      </c>
      <c r="D93" s="72">
        <v>273164.16341000015</v>
      </c>
      <c r="E93" s="73">
        <f t="shared" si="7"/>
        <v>1048278.5413900005</v>
      </c>
      <c r="F93" s="72">
        <v>141880.56431000002</v>
      </c>
      <c r="G93" s="72">
        <v>664680.19639000006</v>
      </c>
      <c r="H93" s="72">
        <v>312463.23897000001</v>
      </c>
      <c r="I93" s="74">
        <f t="shared" si="8"/>
        <v>1119023.99967</v>
      </c>
      <c r="J93" s="75">
        <f t="shared" si="9"/>
        <v>-3.4574987659745947E-2</v>
      </c>
      <c r="K93" s="75">
        <f t="shared" si="9"/>
        <v>5.8150811166910177E-2</v>
      </c>
      <c r="L93" s="75">
        <f t="shared" si="9"/>
        <v>0.14386614653040966</v>
      </c>
      <c r="M93" s="76">
        <f t="shared" si="9"/>
        <v>6.748727126112132E-2</v>
      </c>
      <c r="N93" s="75">
        <f t="shared" si="10"/>
        <v>-7.1823709302855462E-2</v>
      </c>
      <c r="O93" s="75">
        <f t="shared" si="11"/>
        <v>0.51632408409073061</v>
      </c>
      <c r="P93" s="75">
        <f t="shared" si="12"/>
        <v>0.55549962521212604</v>
      </c>
      <c r="Q93" s="77"/>
    </row>
    <row r="94" spans="1:17">
      <c r="A94" s="78" t="s">
        <v>291</v>
      </c>
      <c r="B94" s="72">
        <v>73720.286420000019</v>
      </c>
      <c r="C94" s="72">
        <v>73957.31087999999</v>
      </c>
      <c r="D94" s="72">
        <v>33446.650500000003</v>
      </c>
      <c r="E94" s="73">
        <f t="shared" si="7"/>
        <v>181124.24780000001</v>
      </c>
      <c r="F94" s="72">
        <v>79735.21689999997</v>
      </c>
      <c r="G94" s="72">
        <v>85152.964329999973</v>
      </c>
      <c r="H94" s="72">
        <v>49610.354069999994</v>
      </c>
      <c r="I94" s="74">
        <f t="shared" si="8"/>
        <v>214498.53529999993</v>
      </c>
      <c r="J94" s="75">
        <f t="shared" si="9"/>
        <v>8.1591252178967733E-2</v>
      </c>
      <c r="K94" s="75">
        <f t="shared" si="9"/>
        <v>0.15137994225027432</v>
      </c>
      <c r="L94" s="75">
        <f t="shared" si="9"/>
        <v>0.48326822950477477</v>
      </c>
      <c r="M94" s="76">
        <f t="shared" si="9"/>
        <v>0.18426184183164854</v>
      </c>
      <c r="N94" s="75">
        <f t="shared" si="10"/>
        <v>0.18022648363654106</v>
      </c>
      <c r="O94" s="75">
        <f t="shared" si="11"/>
        <v>0.33545745208792876</v>
      </c>
      <c r="P94" s="75">
        <f t="shared" si="12"/>
        <v>0.48431606427553037</v>
      </c>
      <c r="Q94" s="77"/>
    </row>
    <row r="95" spans="1:17">
      <c r="A95" s="78" t="s">
        <v>292</v>
      </c>
      <c r="B95" s="72">
        <v>59261.906009999992</v>
      </c>
      <c r="C95" s="72">
        <v>82400.917990000002</v>
      </c>
      <c r="D95" s="72">
        <v>104964.68750999999</v>
      </c>
      <c r="E95" s="73">
        <f t="shared" si="7"/>
        <v>246627.51150999998</v>
      </c>
      <c r="F95" s="72">
        <v>57132.917999999983</v>
      </c>
      <c r="G95" s="72">
        <v>86861.881970000017</v>
      </c>
      <c r="H95" s="72">
        <v>112450.77623999999</v>
      </c>
      <c r="I95" s="74">
        <f t="shared" si="8"/>
        <v>256445.57620999997</v>
      </c>
      <c r="J95" s="75">
        <f t="shared" si="9"/>
        <v>-3.5925068114426792E-2</v>
      </c>
      <c r="K95" s="75">
        <f t="shared" si="9"/>
        <v>5.413730925353754E-2</v>
      </c>
      <c r="L95" s="75">
        <f t="shared" si="9"/>
        <v>7.1320068754425661E-2</v>
      </c>
      <c r="M95" s="76">
        <f t="shared" si="9"/>
        <v>3.9809284211189455E-2</v>
      </c>
      <c r="N95" s="75">
        <f t="shared" si="10"/>
        <v>-0.21684395805621559</v>
      </c>
      <c r="O95" s="75">
        <f t="shared" si="11"/>
        <v>0.45436286236736861</v>
      </c>
      <c r="P95" s="75">
        <f t="shared" si="12"/>
        <v>0.76248109568884914</v>
      </c>
      <c r="Q95" s="77"/>
    </row>
    <row r="96" spans="1:17">
      <c r="A96" s="78" t="s">
        <v>293</v>
      </c>
      <c r="B96" s="72">
        <v>254430.23408000002</v>
      </c>
      <c r="C96" s="72">
        <v>525617.78894</v>
      </c>
      <c r="D96" s="72">
        <v>114569.49111999999</v>
      </c>
      <c r="E96" s="73">
        <f t="shared" si="7"/>
        <v>894617.51413999998</v>
      </c>
      <c r="F96" s="72">
        <v>297389.45420000021</v>
      </c>
      <c r="G96" s="72">
        <v>605371.67021999951</v>
      </c>
      <c r="H96" s="72">
        <v>176800.08051999984</v>
      </c>
      <c r="I96" s="74">
        <f t="shared" si="8"/>
        <v>1079561.2049399996</v>
      </c>
      <c r="J96" s="75">
        <f t="shared" si="9"/>
        <v>0.16884479266128646</v>
      </c>
      <c r="K96" s="75">
        <f t="shared" si="9"/>
        <v>0.15173360369107203</v>
      </c>
      <c r="L96" s="75">
        <f t="shared" si="9"/>
        <v>0.54316894307245878</v>
      </c>
      <c r="M96" s="76">
        <f t="shared" si="9"/>
        <v>0.20672934284970584</v>
      </c>
      <c r="N96" s="75">
        <f t="shared" si="10"/>
        <v>0.23228270147618504</v>
      </c>
      <c r="O96" s="75">
        <f t="shared" si="11"/>
        <v>0.4312333172059723</v>
      </c>
      <c r="P96" s="75">
        <f t="shared" si="12"/>
        <v>0.33648398131784213</v>
      </c>
      <c r="Q96" s="77"/>
    </row>
    <row r="97" spans="1:17">
      <c r="A97" s="78" t="s">
        <v>294</v>
      </c>
      <c r="B97" s="72">
        <v>122823.86960000002</v>
      </c>
      <c r="C97" s="72">
        <v>49966.477220000008</v>
      </c>
      <c r="D97" s="72">
        <v>76751.122799999983</v>
      </c>
      <c r="E97" s="73">
        <f t="shared" si="7"/>
        <v>249541.46962000002</v>
      </c>
      <c r="F97" s="72">
        <v>113938.13339</v>
      </c>
      <c r="G97" s="72">
        <v>53627.447350000009</v>
      </c>
      <c r="H97" s="72">
        <v>84508.75334000001</v>
      </c>
      <c r="I97" s="74">
        <f t="shared" si="8"/>
        <v>252074.33408</v>
      </c>
      <c r="J97" s="75">
        <f t="shared" si="9"/>
        <v>-7.2345353056683173E-2</v>
      </c>
      <c r="K97" s="75">
        <f t="shared" si="9"/>
        <v>7.3268525893489048E-2</v>
      </c>
      <c r="L97" s="75">
        <f t="shared" si="9"/>
        <v>0.10107514075351129</v>
      </c>
      <c r="M97" s="76">
        <f t="shared" si="9"/>
        <v>1.0150074309720987E-2</v>
      </c>
      <c r="N97" s="75">
        <f t="shared" si="10"/>
        <v>-3.5081767502079755</v>
      </c>
      <c r="O97" s="75">
        <f t="shared" si="11"/>
        <v>1.4453873027220836</v>
      </c>
      <c r="P97" s="75">
        <f t="shared" si="12"/>
        <v>3.0627894474859034</v>
      </c>
      <c r="Q97" s="77"/>
    </row>
    <row r="98" spans="1:17">
      <c r="A98" s="78" t="s">
        <v>295</v>
      </c>
      <c r="B98" s="72">
        <v>187753.24365999998</v>
      </c>
      <c r="C98" s="72">
        <v>86680.635090000011</v>
      </c>
      <c r="D98" s="72">
        <v>57910.97675999999</v>
      </c>
      <c r="E98" s="73">
        <f t="shared" si="7"/>
        <v>332344.85550999996</v>
      </c>
      <c r="F98" s="72">
        <v>199837.28411999997</v>
      </c>
      <c r="G98" s="72">
        <v>98061.173750000002</v>
      </c>
      <c r="H98" s="72">
        <v>90758.42846000001</v>
      </c>
      <c r="I98" s="74">
        <f t="shared" si="8"/>
        <v>388656.88633000001</v>
      </c>
      <c r="J98" s="75">
        <f t="shared" si="9"/>
        <v>6.4361287317532725E-2</v>
      </c>
      <c r="K98" s="75">
        <f t="shared" si="9"/>
        <v>0.13129274662309109</v>
      </c>
      <c r="L98" s="75">
        <f t="shared" si="9"/>
        <v>0.56720596919180721</v>
      </c>
      <c r="M98" s="76">
        <f t="shared" si="9"/>
        <v>0.16943855121086918</v>
      </c>
      <c r="N98" s="75">
        <f t="shared" si="10"/>
        <v>0.21459074169472442</v>
      </c>
      <c r="O98" s="75">
        <f t="shared" si="11"/>
        <v>0.20209781984914715</v>
      </c>
      <c r="P98" s="75">
        <f t="shared" si="12"/>
        <v>0.58331143845612765</v>
      </c>
      <c r="Q98" s="77"/>
    </row>
    <row r="99" spans="1:17">
      <c r="A99" s="78" t="s">
        <v>296</v>
      </c>
      <c r="B99" s="72">
        <v>164303.50852</v>
      </c>
      <c r="C99" s="72">
        <v>43957.174339999983</v>
      </c>
      <c r="D99" s="72">
        <v>128954.28708000004</v>
      </c>
      <c r="E99" s="73">
        <f t="shared" si="7"/>
        <v>337214.96994000004</v>
      </c>
      <c r="F99" s="72">
        <v>163949.62338999999</v>
      </c>
      <c r="G99" s="72">
        <v>52579.471980000002</v>
      </c>
      <c r="H99" s="72">
        <v>150562.57424999998</v>
      </c>
      <c r="I99" s="74">
        <f t="shared" si="8"/>
        <v>367091.66961999994</v>
      </c>
      <c r="J99" s="75">
        <f t="shared" si="9"/>
        <v>-2.1538501106136308E-3</v>
      </c>
      <c r="K99" s="75">
        <f t="shared" si="9"/>
        <v>0.19615222701323487</v>
      </c>
      <c r="L99" s="75">
        <f t="shared" si="9"/>
        <v>0.16756548122044745</v>
      </c>
      <c r="M99" s="76">
        <f t="shared" si="9"/>
        <v>8.8598378907424544E-2</v>
      </c>
      <c r="N99" s="75">
        <f t="shared" si="10"/>
        <v>-1.1844853474124114E-2</v>
      </c>
      <c r="O99" s="75">
        <f t="shared" si="11"/>
        <v>0.28859605419443191</v>
      </c>
      <c r="P99" s="75">
        <f t="shared" si="12"/>
        <v>0.72324879927969365</v>
      </c>
      <c r="Q99" s="77"/>
    </row>
    <row r="100" spans="1:17">
      <c r="A100" s="78" t="s">
        <v>297</v>
      </c>
      <c r="B100" s="72">
        <v>431408.8094999998</v>
      </c>
      <c r="C100" s="72">
        <v>29375.976969999996</v>
      </c>
      <c r="D100" s="72">
        <v>62773.058239999998</v>
      </c>
      <c r="E100" s="73">
        <f t="shared" si="7"/>
        <v>523557.8447099998</v>
      </c>
      <c r="F100" s="72">
        <v>463294.63014999946</v>
      </c>
      <c r="G100" s="72">
        <v>39810.526769999982</v>
      </c>
      <c r="H100" s="72">
        <v>74892.684800000003</v>
      </c>
      <c r="I100" s="74">
        <f t="shared" si="8"/>
        <v>577997.84171999944</v>
      </c>
      <c r="J100" s="75">
        <f t="shared" si="9"/>
        <v>7.3910916856230011E-2</v>
      </c>
      <c r="K100" s="75">
        <f t="shared" si="9"/>
        <v>0.35520690292806922</v>
      </c>
      <c r="L100" s="75">
        <f t="shared" si="9"/>
        <v>0.19307051304817874</v>
      </c>
      <c r="M100" s="76">
        <f t="shared" si="9"/>
        <v>0.10398086392947491</v>
      </c>
      <c r="N100" s="75">
        <f t="shared" si="10"/>
        <v>0.58570577518846689</v>
      </c>
      <c r="O100" s="75">
        <f t="shared" si="11"/>
        <v>0.19167065343672499</v>
      </c>
      <c r="P100" s="75">
        <f t="shared" si="12"/>
        <v>0.22262357137480826</v>
      </c>
      <c r="Q100" s="77"/>
    </row>
    <row r="101" spans="1:17">
      <c r="A101" s="78" t="s">
        <v>298</v>
      </c>
      <c r="B101" s="72">
        <v>392645.03009999986</v>
      </c>
      <c r="C101" s="72">
        <v>1130913.3364400002</v>
      </c>
      <c r="D101" s="72">
        <v>254189.57814999999</v>
      </c>
      <c r="E101" s="73">
        <f t="shared" si="7"/>
        <v>1777747.94469</v>
      </c>
      <c r="F101" s="72">
        <v>428259.21406000014</v>
      </c>
      <c r="G101" s="72">
        <v>1290941.9380099988</v>
      </c>
      <c r="H101" s="72">
        <v>336654.84639999981</v>
      </c>
      <c r="I101" s="74">
        <f t="shared" si="8"/>
        <v>2055855.9984699986</v>
      </c>
      <c r="J101" s="75">
        <f t="shared" si="9"/>
        <v>9.0703259254115542E-2</v>
      </c>
      <c r="K101" s="75">
        <f t="shared" si="9"/>
        <v>0.14150385923801398</v>
      </c>
      <c r="L101" s="75">
        <f t="shared" si="9"/>
        <v>0.32442426967377941</v>
      </c>
      <c r="M101" s="76">
        <f t="shared" si="9"/>
        <v>0.15643840546163279</v>
      </c>
      <c r="N101" s="75">
        <f t="shared" si="10"/>
        <v>0.12805880115997434</v>
      </c>
      <c r="O101" s="75">
        <f t="shared" si="11"/>
        <v>0.57541879638117743</v>
      </c>
      <c r="P101" s="75">
        <f t="shared" si="12"/>
        <v>0.29652240245884853</v>
      </c>
      <c r="Q101" s="77"/>
    </row>
    <row r="102" spans="1:17">
      <c r="A102" s="78" t="s">
        <v>299</v>
      </c>
      <c r="B102" s="72">
        <v>130825.79348000002</v>
      </c>
      <c r="C102" s="72">
        <v>20364.937919999993</v>
      </c>
      <c r="D102" s="72">
        <v>69249.203119999991</v>
      </c>
      <c r="E102" s="73">
        <f t="shared" si="7"/>
        <v>220439.93452000001</v>
      </c>
      <c r="F102" s="72">
        <v>134002.91962999999</v>
      </c>
      <c r="G102" s="72">
        <v>25613.298750000005</v>
      </c>
      <c r="H102" s="72">
        <v>80742.785170000003</v>
      </c>
      <c r="I102" s="74">
        <f t="shared" si="8"/>
        <v>240359.00355000002</v>
      </c>
      <c r="J102" s="75">
        <f t="shared" si="9"/>
        <v>2.4285166292422833E-2</v>
      </c>
      <c r="K102" s="75">
        <f t="shared" si="9"/>
        <v>0.25771553297227112</v>
      </c>
      <c r="L102" s="75">
        <f t="shared" si="9"/>
        <v>0.16597421388493247</v>
      </c>
      <c r="M102" s="76">
        <f t="shared" si="9"/>
        <v>9.0360528700813972E-2</v>
      </c>
      <c r="N102" s="75">
        <f t="shared" si="10"/>
        <v>0.1595017390227883</v>
      </c>
      <c r="O102" s="75">
        <f t="shared" si="11"/>
        <v>0.26348424326937575</v>
      </c>
      <c r="P102" s="75">
        <f t="shared" si="12"/>
        <v>0.57701401770783478</v>
      </c>
      <c r="Q102" s="77"/>
    </row>
    <row r="103" spans="1:17">
      <c r="A103" s="78" t="s">
        <v>300</v>
      </c>
      <c r="B103" s="72">
        <v>66935.060269999973</v>
      </c>
      <c r="C103" s="72">
        <v>125112.50350000001</v>
      </c>
      <c r="D103" s="72">
        <v>91898.811600000001</v>
      </c>
      <c r="E103" s="73">
        <f t="shared" si="7"/>
        <v>283946.37536999997</v>
      </c>
      <c r="F103" s="72">
        <v>68569.665730000008</v>
      </c>
      <c r="G103" s="72">
        <v>130802.21009999997</v>
      </c>
      <c r="H103" s="72">
        <v>103743.76354999999</v>
      </c>
      <c r="I103" s="74">
        <f t="shared" si="8"/>
        <v>303115.63937999995</v>
      </c>
      <c r="J103" s="75">
        <f t="shared" si="9"/>
        <v>2.4420766238297673E-2</v>
      </c>
      <c r="K103" s="75">
        <f t="shared" si="9"/>
        <v>4.5476722476422676E-2</v>
      </c>
      <c r="L103" s="75">
        <f t="shared" si="9"/>
        <v>0.12889124183190187</v>
      </c>
      <c r="M103" s="76">
        <f t="shared" si="9"/>
        <v>6.7510155694085652E-2</v>
      </c>
      <c r="N103" s="75">
        <f t="shared" si="10"/>
        <v>8.5272207589572269E-2</v>
      </c>
      <c r="O103" s="75">
        <f t="shared" si="11"/>
        <v>0.29681403506320458</v>
      </c>
      <c r="P103" s="75">
        <f t="shared" si="12"/>
        <v>0.61791375734722309</v>
      </c>
      <c r="Q103" s="77"/>
    </row>
    <row r="104" spans="1:17">
      <c r="A104" s="79" t="s">
        <v>301</v>
      </c>
      <c r="B104" s="72">
        <v>32265.950620000014</v>
      </c>
      <c r="C104" s="72">
        <v>120709.17746000001</v>
      </c>
      <c r="D104" s="72">
        <v>85413.274580000027</v>
      </c>
      <c r="E104" s="73">
        <f t="shared" si="7"/>
        <v>238388.40266000005</v>
      </c>
      <c r="F104" s="72">
        <v>26899.871339999983</v>
      </c>
      <c r="G104" s="72">
        <v>116728.96726000003</v>
      </c>
      <c r="H104" s="72">
        <v>87528.977710000006</v>
      </c>
      <c r="I104" s="74">
        <f t="shared" si="8"/>
        <v>231157.81631000002</v>
      </c>
      <c r="J104" s="75">
        <f t="shared" si="9"/>
        <v>-0.16630780054172253</v>
      </c>
      <c r="K104" s="75">
        <f t="shared" si="9"/>
        <v>-3.2973550841392439E-2</v>
      </c>
      <c r="L104" s="75">
        <f t="shared" si="9"/>
        <v>2.4770191055236548E-2</v>
      </c>
      <c r="M104" s="76">
        <f t="shared" si="9"/>
        <v>-3.0331116234343852E-2</v>
      </c>
      <c r="N104" s="75">
        <f t="shared" si="10"/>
        <v>0.74213611735651441</v>
      </c>
      <c r="O104" s="75">
        <f t="shared" si="11"/>
        <v>0.55046852458928974</v>
      </c>
      <c r="P104" s="75">
        <f t="shared" si="12"/>
        <v>-0.2926046419458046</v>
      </c>
      <c r="Q104" s="77"/>
    </row>
    <row r="105" spans="1:17" s="83" customFormat="1">
      <c r="A105" s="80" t="s">
        <v>302</v>
      </c>
      <c r="B105" s="81">
        <f t="shared" ref="B105:I105" si="13">SUM(B5:B104)</f>
        <v>25785397.869749997</v>
      </c>
      <c r="C105" s="81">
        <f t="shared" si="13"/>
        <v>28283527.108520001</v>
      </c>
      <c r="D105" s="81">
        <f t="shared" si="13"/>
        <v>11453526.378970001</v>
      </c>
      <c r="E105" s="74">
        <f t="shared" si="13"/>
        <v>65522451.357239984</v>
      </c>
      <c r="F105" s="81">
        <f t="shared" si="13"/>
        <v>27437940.78281999</v>
      </c>
      <c r="G105" s="81">
        <f t="shared" si="13"/>
        <v>31266835.759669993</v>
      </c>
      <c r="H105" s="81">
        <f t="shared" si="13"/>
        <v>14690061.446969997</v>
      </c>
      <c r="I105" s="74">
        <f t="shared" si="13"/>
        <v>73394837.989460006</v>
      </c>
      <c r="J105" s="82">
        <f>(F105-B105)/B105</f>
        <v>6.4088323221440965E-2</v>
      </c>
      <c r="K105" s="82">
        <f>(G105-C105)/C105</f>
        <v>0.10547866394822142</v>
      </c>
      <c r="L105" s="82">
        <f>(H105-D105)/D105</f>
        <v>0.28257978904581293</v>
      </c>
      <c r="M105" s="76">
        <f>(I105-E105)/E105</f>
        <v>0.12014792592692204</v>
      </c>
      <c r="N105" s="82">
        <f>(F105-B105)/(I105-E105)</f>
        <v>0.20991638117803854</v>
      </c>
      <c r="O105" s="82">
        <f>(G105-C105)/(I105-E105)</f>
        <v>0.37895860436274015</v>
      </c>
      <c r="P105" s="82">
        <f>(H105-D105)/(I105-E105)</f>
        <v>0.41112501445921612</v>
      </c>
      <c r="Q105" s="77"/>
    </row>
    <row r="108" spans="1:17">
      <c r="A108" s="119" t="s">
        <v>451</v>
      </c>
    </row>
    <row r="109" spans="1:17">
      <c r="A109" s="119" t="s">
        <v>450</v>
      </c>
    </row>
    <row r="110" spans="1:17">
      <c r="A110" s="119" t="s">
        <v>449</v>
      </c>
    </row>
  </sheetData>
  <mergeCells count="4">
    <mergeCell ref="B3:D3"/>
    <mergeCell ref="F3:H3"/>
    <mergeCell ref="J3:L3"/>
    <mergeCell ref="N3:P3"/>
  </mergeCells>
  <pageMargins left="0.7" right="0.7" top="0.75" bottom="0.75" header="0.3" footer="0.3"/>
  <pageSetup scale="65" fitToHeight="0" orientation="landscape" r:id="rId1"/>
</worksheet>
</file>

<file path=xl/worksheets/sheet9.xml><?xml version="1.0" encoding="utf-8"?>
<worksheet xmlns="http://schemas.openxmlformats.org/spreadsheetml/2006/main" xmlns:r="http://schemas.openxmlformats.org/officeDocument/2006/relationships">
  <dimension ref="A2:W95"/>
  <sheetViews>
    <sheetView workbookViewId="0">
      <selection activeCell="C15" sqref="C15"/>
    </sheetView>
  </sheetViews>
  <sheetFormatPr defaultRowHeight="15"/>
  <cols>
    <col min="1" max="1" width="37" style="65" customWidth="1"/>
    <col min="2" max="23" width="9.140625" style="162"/>
    <col min="24" max="16384" width="9.140625" style="65"/>
  </cols>
  <sheetData>
    <row r="2" spans="1:23">
      <c r="A2" s="64" t="s">
        <v>452</v>
      </c>
    </row>
    <row r="5" spans="1:23">
      <c r="A5" s="49" t="s">
        <v>105</v>
      </c>
      <c r="B5" s="176">
        <v>1990</v>
      </c>
      <c r="C5" s="176">
        <v>1991</v>
      </c>
      <c r="D5" s="176">
        <v>1992</v>
      </c>
      <c r="E5" s="176">
        <v>1993</v>
      </c>
      <c r="F5" s="176">
        <v>1994</v>
      </c>
      <c r="G5" s="176">
        <v>1995</v>
      </c>
      <c r="H5" s="176">
        <v>1996</v>
      </c>
      <c r="I5" s="176">
        <v>1997</v>
      </c>
      <c r="J5" s="176">
        <v>1998</v>
      </c>
      <c r="K5" s="176">
        <v>1999</v>
      </c>
      <c r="L5" s="176">
        <v>2000</v>
      </c>
      <c r="M5" s="176">
        <v>2001</v>
      </c>
      <c r="N5" s="176">
        <v>2002</v>
      </c>
      <c r="O5" s="176">
        <v>2003</v>
      </c>
      <c r="P5" s="176">
        <v>2004</v>
      </c>
      <c r="Q5" s="176">
        <v>2005</v>
      </c>
      <c r="R5" s="176">
        <v>2006</v>
      </c>
      <c r="S5" s="176">
        <v>2007</v>
      </c>
      <c r="T5" s="176">
        <v>2008</v>
      </c>
      <c r="U5" s="176">
        <v>2009</v>
      </c>
      <c r="V5" s="176">
        <v>2010</v>
      </c>
      <c r="W5" s="176">
        <v>2011</v>
      </c>
    </row>
    <row r="6" spans="1:23">
      <c r="A6" s="65" t="s">
        <v>106</v>
      </c>
      <c r="B6" s="177">
        <f>'[6]Final prices'!B6*1000/'[6]Final income'!B6</f>
        <v>3.2344788470507106</v>
      </c>
      <c r="C6" s="177">
        <f>'[6]Final prices'!C6*1000/'[6]Final income'!C6</f>
        <v>3.3866094920233438</v>
      </c>
      <c r="D6" s="177">
        <f>'[6]Final prices'!D6*1000/'[6]Final income'!D6</f>
        <v>3.4289724786931428</v>
      </c>
      <c r="E6" s="177">
        <f>'[6]Final prices'!E6*1000/'[6]Final income'!E6</f>
        <v>3.4649978639448502</v>
      </c>
      <c r="F6" s="177">
        <f>'[6]Final prices'!F6*1000/'[6]Final income'!F6</f>
        <v>3.493832107814963</v>
      </c>
      <c r="G6" s="177">
        <f>'[6]Final prices'!G6*1000/'[6]Final income'!G6</f>
        <v>3.3997534921939199</v>
      </c>
      <c r="H6" s="177">
        <f>'[6]Final prices'!H6*1000/'[6]Final income'!H6</f>
        <v>3.4338725187048493</v>
      </c>
      <c r="I6" s="177">
        <f>'[6]Final prices'!I6*1000/'[6]Final income'!I6</f>
        <v>3.4603432878012659</v>
      </c>
      <c r="J6" s="177">
        <f>'[6]Final prices'!J6*1000/'[6]Final income'!J6</f>
        <v>3.4711328275684719</v>
      </c>
      <c r="K6" s="177">
        <f>'[6]Final prices'!K6*1000/'[6]Final income'!K6</f>
        <v>3.4468987505676543</v>
      </c>
      <c r="L6" s="177">
        <f>'[6]Final prices'!L6*1000/'[6]Final income'!L6</f>
        <v>3.4475446227093944</v>
      </c>
      <c r="M6" s="177">
        <f>'[6]Final prices'!M6*1000/'[6]Final income'!M6</f>
        <v>3.6180136120561253</v>
      </c>
      <c r="N6" s="177">
        <f>'[6]Final prices'!N6*1000/'[6]Final income'!N6</f>
        <v>3.8605802773068261</v>
      </c>
      <c r="O6" s="177">
        <f>'[6]Final prices'!O6*1000/'[6]Final income'!O6</f>
        <v>4.0928287456797534</v>
      </c>
      <c r="P6" s="177">
        <f>'[6]Final prices'!P6*1000/'[6]Final income'!P6</f>
        <v>4.3147434204637003</v>
      </c>
      <c r="Q6" s="177">
        <f>'[6]Final prices'!Q6*1000/'[6]Final income'!Q6</f>
        <v>4.7029758056090962</v>
      </c>
      <c r="R6" s="177">
        <f>'[6]Final prices'!R6*1000/'[6]Final income'!R6</f>
        <v>4.5793687374134757</v>
      </c>
      <c r="S6" s="177">
        <f>'[6]Final prices'!S6*1000/'[6]Final income'!S6</f>
        <v>4.247635051241625</v>
      </c>
      <c r="T6" s="177">
        <f>'[6]Final prices'!T6*1000/'[6]Final income'!T6</f>
        <v>3.762805364740895</v>
      </c>
      <c r="U6" s="177">
        <f>'[6]Final prices'!U6*1000/'[6]Final income'!U6</f>
        <v>3.4348182407685326</v>
      </c>
      <c r="V6" s="177">
        <f>'[6]Final prices'!V6*1000/'[6]Final income'!V6</f>
        <v>3.4548217022268193</v>
      </c>
      <c r="W6" s="177">
        <f>'[6]Final prices'!W6*1000/'[6]Final income'!W6</f>
        <v>3.1995627151971395</v>
      </c>
    </row>
    <row r="7" spans="1:23">
      <c r="A7" s="65" t="s">
        <v>107</v>
      </c>
      <c r="B7" s="177">
        <f>'[6]Final prices'!B7*1000/'[6]Final income'!B7</f>
        <v>2.2068567389716223</v>
      </c>
      <c r="C7" s="177">
        <f>'[6]Final prices'!C7*1000/'[6]Final income'!C7</f>
        <v>2.333380044462193</v>
      </c>
      <c r="D7" s="177">
        <f>'[6]Final prices'!D7*1000/'[6]Final income'!D7</f>
        <v>2.4268863895646251</v>
      </c>
      <c r="E7" s="177">
        <f>'[6]Final prices'!E7*1000/'[6]Final income'!E7</f>
        <v>2.5213567946471058</v>
      </c>
      <c r="F7" s="177">
        <f>'[6]Final prices'!F7*1000/'[6]Final income'!F7</f>
        <v>2.5051793211439857</v>
      </c>
      <c r="G7" s="177">
        <f>'[6]Final prices'!G7*1000/'[6]Final income'!G7</f>
        <v>2.4515916152779944</v>
      </c>
      <c r="H7" s="177">
        <f>'[6]Final prices'!H7*1000/'[6]Final income'!H7</f>
        <v>2.6743996891477422</v>
      </c>
      <c r="I7" s="177">
        <f>'[6]Final prices'!I7*1000/'[6]Final income'!I7</f>
        <v>2.6889230638307287</v>
      </c>
      <c r="J7" s="177">
        <f>'[6]Final prices'!J7*1000/'[6]Final income'!J7</f>
        <v>2.4974544364060942</v>
      </c>
      <c r="K7" s="177">
        <f>'[6]Final prices'!K7*1000/'[6]Final income'!K7</f>
        <v>2.4384531385644084</v>
      </c>
      <c r="L7" s="177">
        <f>'[6]Final prices'!L7*1000/'[6]Final income'!L7</f>
        <v>2.5805778516121225</v>
      </c>
      <c r="M7" s="177">
        <f>'[6]Final prices'!M7*1000/'[6]Final income'!M7</f>
        <v>2.6860944060387384</v>
      </c>
      <c r="N7" s="177">
        <f>'[6]Final prices'!N7*1000/'[6]Final income'!N7</f>
        <v>2.7436503246551207</v>
      </c>
      <c r="O7" s="177">
        <f>'[6]Final prices'!O7*1000/'[6]Final income'!O7</f>
        <v>2.7428431617345193</v>
      </c>
      <c r="P7" s="177">
        <f>'[6]Final prices'!P7*1000/'[6]Final income'!P7</f>
        <v>2.6631167542018592</v>
      </c>
      <c r="Q7" s="177">
        <f>'[6]Final prices'!Q7*1000/'[6]Final income'!Q7</f>
        <v>2.681886549287583</v>
      </c>
      <c r="R7" s="177">
        <f>'[6]Final prices'!R7*1000/'[6]Final income'!R7</f>
        <v>2.5085145686344767</v>
      </c>
      <c r="S7" s="177">
        <f>'[6]Final prices'!S7*1000/'[6]Final income'!S7</f>
        <v>2.4840098011703127</v>
      </c>
      <c r="T7" s="177">
        <f>'[6]Final prices'!T7*1000/'[6]Final income'!T7</f>
        <v>2.0275527927632115</v>
      </c>
      <c r="U7" s="177">
        <f>'[6]Final prices'!U7*1000/'[6]Final income'!U7</f>
        <v>1.8744242346799236</v>
      </c>
      <c r="V7" s="177">
        <f>'[6]Final prices'!V7*1000/'[6]Final income'!V7</f>
        <v>2.2943550985532957</v>
      </c>
      <c r="W7" s="177">
        <f>'[6]Final prices'!W7*1000/'[6]Final income'!W7</f>
        <v>1.8823758979399527</v>
      </c>
    </row>
    <row r="8" spans="1:23">
      <c r="A8" s="65" t="s">
        <v>108</v>
      </c>
      <c r="B8" s="177">
        <f>'[6]Final prices'!B8*1000/'[6]Final income'!B8</f>
        <v>3.1677331045741011</v>
      </c>
      <c r="C8" s="177">
        <f>'[6]Final prices'!C8*1000/'[6]Final income'!C8</f>
        <v>3.2410117508887821</v>
      </c>
      <c r="D8" s="177">
        <f>'[6]Final prices'!D8*1000/'[6]Final income'!D8</f>
        <v>3.350407292368045</v>
      </c>
      <c r="E8" s="177">
        <f>'[6]Final prices'!E8*1000/'[6]Final income'!E8</f>
        <v>3.2943158975388696</v>
      </c>
      <c r="F8" s="177">
        <f>'[6]Final prices'!F8*1000/'[6]Final income'!F8</f>
        <v>3.2615361765470259</v>
      </c>
      <c r="G8" s="177">
        <f>'[6]Final prices'!G8*1000/'[6]Final income'!G8</f>
        <v>2.9625361582682137</v>
      </c>
      <c r="H8" s="177">
        <f>'[6]Final prices'!H8*1000/'[6]Final income'!H8</f>
        <v>2.7683892950140701</v>
      </c>
      <c r="I8" s="177">
        <f>'[6]Final prices'!I8*1000/'[6]Final income'!I8</f>
        <v>2.670120463457859</v>
      </c>
      <c r="J8" s="177">
        <f>'[6]Final prices'!J8*1000/'[6]Final income'!J8</f>
        <v>2.5650230326053411</v>
      </c>
      <c r="K8" s="177">
        <f>'[6]Final prices'!K8*1000/'[6]Final income'!K8</f>
        <v>2.4022173153141932</v>
      </c>
      <c r="L8" s="177">
        <f>'[6]Final prices'!L8*1000/'[6]Final income'!L8</f>
        <v>2.4591346703707817</v>
      </c>
      <c r="M8" s="177">
        <f>'[6]Final prices'!M8*1000/'[6]Final income'!M8</f>
        <v>2.666197236478014</v>
      </c>
      <c r="N8" s="177">
        <f>'[6]Final prices'!N8*1000/'[6]Final income'!N8</f>
        <v>2.7106431871795591</v>
      </c>
      <c r="O8" s="177">
        <f>'[6]Final prices'!O8*1000/'[6]Final income'!O8</f>
        <v>2.9304424750626636</v>
      </c>
      <c r="P8" s="177">
        <f>'[6]Final prices'!P8*1000/'[6]Final income'!P8</f>
        <v>3.2032000103929832</v>
      </c>
      <c r="Q8" s="177">
        <f>'[6]Final prices'!Q8*1000/'[6]Final income'!Q8</f>
        <v>3.5500954720888118</v>
      </c>
      <c r="R8" s="177">
        <f>'[6]Final prices'!R8*1000/'[6]Final income'!R8</f>
        <v>3.7062934618143681</v>
      </c>
      <c r="S8" s="177">
        <f>'[6]Final prices'!S8*1000/'[6]Final income'!S8</f>
        <v>3.7101784603254142</v>
      </c>
      <c r="T8" s="177">
        <f>'[6]Final prices'!T8*1000/'[6]Final income'!T8</f>
        <v>3.4938840688560586</v>
      </c>
      <c r="U8" s="177">
        <f>'[6]Final prices'!U8*1000/'[6]Final income'!U8</f>
        <v>3.3767654988926665</v>
      </c>
      <c r="V8" s="177">
        <f>'[6]Final prices'!V8*1000/'[6]Final income'!V8</f>
        <v>3.5103468730019793</v>
      </c>
      <c r="W8" s="177">
        <f>'[6]Final prices'!W8*1000/'[6]Final income'!W8</f>
        <v>3.3464751745444592</v>
      </c>
    </row>
    <row r="9" spans="1:23">
      <c r="A9" s="65" t="s">
        <v>109</v>
      </c>
      <c r="B9" s="177">
        <f>'[6]Final prices'!B9*1000/'[6]Final income'!B9</f>
        <v>2.8632939482487023</v>
      </c>
      <c r="C9" s="177">
        <f>'[6]Final prices'!C9*1000/'[6]Final income'!C9</f>
        <v>2.7574577644204887</v>
      </c>
      <c r="D9" s="177">
        <f>'[6]Final prices'!D9*1000/'[6]Final income'!D9</f>
        <v>2.9866721843574036</v>
      </c>
      <c r="E9" s="177">
        <f>'[6]Final prices'!E9*1000/'[6]Final income'!E9</f>
        <v>3.1315391403822717</v>
      </c>
      <c r="F9" s="177">
        <f>'[6]Final prices'!F9*1000/'[6]Final income'!F9</f>
        <v>3.3929615248838605</v>
      </c>
      <c r="G9" s="177">
        <f>'[6]Final prices'!G9*1000/'[6]Final income'!G9</f>
        <v>3.7152749563999792</v>
      </c>
      <c r="H9" s="177">
        <f>'[6]Final prices'!H9*1000/'[6]Final income'!H9</f>
        <v>4.0218433083098759</v>
      </c>
      <c r="I9" s="177">
        <f>'[6]Final prices'!I9*1000/'[6]Final income'!I9</f>
        <v>3.4611282620202357</v>
      </c>
      <c r="J9" s="177">
        <f>'[6]Final prices'!J9*1000/'[6]Final income'!J9</f>
        <v>3.3326289683149257</v>
      </c>
      <c r="K9" s="177">
        <f>'[6]Final prices'!K9*1000/'[6]Final income'!K9</f>
        <v>3.3406306624893194</v>
      </c>
      <c r="L9" s="177">
        <f>'[6]Final prices'!L9*1000/'[6]Final income'!L9</f>
        <v>3.2905469700373655</v>
      </c>
      <c r="M9" s="177">
        <f>'[6]Final prices'!M9*1000/'[6]Final income'!M9</f>
        <v>3.3660293880037062</v>
      </c>
      <c r="N9" s="177">
        <f>'[6]Final prices'!N9*1000/'[6]Final income'!N9</f>
        <v>3.2723340205296241</v>
      </c>
      <c r="O9" s="177">
        <f>'[6]Final prices'!O9*1000/'[6]Final income'!O9</f>
        <v>3.5008378018772914</v>
      </c>
      <c r="P9" s="177">
        <f>'[6]Final prices'!P9*1000/'[6]Final income'!P9</f>
        <v>3.5391131092154349</v>
      </c>
      <c r="Q9" s="177">
        <f>'[6]Final prices'!Q9*1000/'[6]Final income'!Q9</f>
        <v>3.9106462938920656</v>
      </c>
      <c r="R9" s="177">
        <f>'[6]Final prices'!R9*1000/'[6]Final income'!R9</f>
        <v>4.0189979713316939</v>
      </c>
      <c r="S9" s="177">
        <f>'[6]Final prices'!S9*1000/'[6]Final income'!S9</f>
        <v>4.3030605203621715</v>
      </c>
      <c r="T9" s="177">
        <f>'[6]Final prices'!T9*1000/'[6]Final income'!T9</f>
        <v>3.9922577472040812</v>
      </c>
      <c r="U9" s="177">
        <f>'[6]Final prices'!U9*1000/'[6]Final income'!U9</f>
        <v>3.8178972045947077</v>
      </c>
      <c r="V9" s="177">
        <f>'[6]Final prices'!V9*1000/'[6]Final income'!V9</f>
        <v>3.8356076028175505</v>
      </c>
      <c r="W9" s="177">
        <f>'[6]Final prices'!W9*1000/'[6]Final income'!W9</f>
        <v>3.5233477645712434</v>
      </c>
    </row>
    <row r="10" spans="1:23">
      <c r="A10" s="65" t="s">
        <v>110</v>
      </c>
      <c r="B10" s="177" t="s">
        <v>25</v>
      </c>
      <c r="C10" s="177" t="s">
        <v>25</v>
      </c>
      <c r="D10" s="177" t="s">
        <v>25</v>
      </c>
      <c r="E10" s="177" t="s">
        <v>25</v>
      </c>
      <c r="F10" s="177" t="s">
        <v>25</v>
      </c>
      <c r="G10" s="177" t="s">
        <v>25</v>
      </c>
      <c r="H10" s="177" t="s">
        <v>25</v>
      </c>
      <c r="I10" s="177" t="s">
        <v>25</v>
      </c>
      <c r="J10" s="177" t="s">
        <v>25</v>
      </c>
      <c r="K10" s="177" t="s">
        <v>25</v>
      </c>
      <c r="L10" s="177">
        <f>'[6]Final prices'!L10*1000/'[6]Final income'!L10</f>
        <v>2.5105018239416403</v>
      </c>
      <c r="M10" s="177">
        <f>'[6]Final prices'!M10*1000/'[6]Final income'!M10</f>
        <v>2.6670205387304642</v>
      </c>
      <c r="N10" s="177">
        <f>'[6]Final prices'!N10*1000/'[6]Final income'!N10</f>
        <v>3.4265987463626315</v>
      </c>
      <c r="O10" s="177">
        <f>'[6]Final prices'!O10*1000/'[6]Final income'!O10</f>
        <v>3.868822526033568</v>
      </c>
      <c r="P10" s="177">
        <f>'[6]Final prices'!P10*1000/'[6]Final income'!P10</f>
        <v>4.1933625382862747</v>
      </c>
      <c r="Q10" s="177">
        <f>'[6]Final prices'!Q10*1000/'[6]Final income'!Q10</f>
        <v>4.7459418789117258</v>
      </c>
      <c r="R10" s="177">
        <f>'[6]Final prices'!R10*1000/'[6]Final income'!R10</f>
        <v>4.7527159211360024</v>
      </c>
      <c r="S10" s="177">
        <f>'[6]Final prices'!S10*1000/'[6]Final income'!S10</f>
        <v>4.7144941404848604</v>
      </c>
      <c r="T10" s="177">
        <f>'[6]Final prices'!T10*1000/'[6]Final income'!T10</f>
        <v>4.2394668941208948</v>
      </c>
      <c r="U10" s="177">
        <f>'[6]Final prices'!U10*1000/'[6]Final income'!U10</f>
        <v>3.9570828270518881</v>
      </c>
      <c r="V10" s="177">
        <f>'[6]Final prices'!V10*1000/'[6]Final income'!V10</f>
        <v>4.0250765855497548</v>
      </c>
      <c r="W10" s="177">
        <f>'[6]Final prices'!W10*1000/'[6]Final income'!W10</f>
        <v>3.2229651746945813</v>
      </c>
    </row>
    <row r="11" spans="1:23">
      <c r="A11" s="65" t="s">
        <v>111</v>
      </c>
      <c r="B11" s="177">
        <f>'[6]Final prices'!B11*1000/'[6]Final income'!B11</f>
        <v>2.4049239705848167</v>
      </c>
      <c r="C11" s="177">
        <f>'[6]Final prices'!C11*1000/'[6]Final income'!C11</f>
        <v>2.4571435625986831</v>
      </c>
      <c r="D11" s="177">
        <f>'[6]Final prices'!D11*1000/'[6]Final income'!D11</f>
        <v>2.368058043912141</v>
      </c>
      <c r="E11" s="177">
        <f>'[6]Final prices'!E11*1000/'[6]Final income'!E11</f>
        <v>2.1959071695870733</v>
      </c>
      <c r="F11" s="177">
        <f>'[6]Final prices'!F11*1000/'[6]Final income'!F11</f>
        <v>2.2518137749180815</v>
      </c>
      <c r="G11" s="177">
        <f>'[6]Final prices'!G11*1000/'[6]Final income'!G11</f>
        <v>2.1526014365218731</v>
      </c>
      <c r="H11" s="177">
        <f>'[6]Final prices'!H11*1000/'[6]Final income'!H11</f>
        <v>2.3383721346252027</v>
      </c>
      <c r="I11" s="177">
        <f>'[6]Final prices'!I11*1000/'[6]Final income'!I11</f>
        <v>2.2181574031398696</v>
      </c>
      <c r="J11" s="177">
        <f>'[6]Final prices'!J11*1000/'[6]Final income'!J11</f>
        <v>2.2568028629028412</v>
      </c>
      <c r="K11" s="177">
        <f>'[6]Final prices'!K11*1000/'[6]Final income'!K11</f>
        <v>2.3781139568774168</v>
      </c>
      <c r="L11" s="177">
        <f>'[6]Final prices'!L11*1000/'[6]Final income'!L11</f>
        <v>2.5363799064635613</v>
      </c>
      <c r="M11" s="177">
        <f>'[6]Final prices'!M11*1000/'[6]Final income'!M11</f>
        <v>2.6959264551263042</v>
      </c>
      <c r="N11" s="177">
        <f>'[6]Final prices'!N11*1000/'[6]Final income'!N11</f>
        <v>2.8525746061541275</v>
      </c>
      <c r="O11" s="177">
        <f>'[6]Final prices'!O11*1000/'[6]Final income'!O11</f>
        <v>2.936363633071847</v>
      </c>
      <c r="P11" s="177">
        <f>'[6]Final prices'!P11*1000/'[6]Final income'!P11</f>
        <v>3.0340934748206427</v>
      </c>
      <c r="Q11" s="177">
        <f>'[6]Final prices'!Q11*1000/'[6]Final income'!Q11</f>
        <v>3.0621513958115605</v>
      </c>
      <c r="R11" s="177">
        <f>'[6]Final prices'!R11*1000/'[6]Final income'!R11</f>
        <v>3.0572760827115633</v>
      </c>
      <c r="S11" s="177">
        <f>'[6]Final prices'!S11*1000/'[6]Final income'!S11</f>
        <v>2.9151851883856907</v>
      </c>
      <c r="T11" s="177">
        <f>'[6]Final prices'!T11*1000/'[6]Final income'!T11</f>
        <v>2.4342032360465358</v>
      </c>
      <c r="U11" s="177">
        <f>'[6]Final prices'!U11*1000/'[6]Final income'!U11</f>
        <v>2.1635315198866052</v>
      </c>
      <c r="V11" s="177">
        <f>'[6]Final prices'!V11*1000/'[6]Final income'!V11</f>
        <v>2.0679010636229824</v>
      </c>
      <c r="W11" s="177">
        <f>'[6]Final prices'!W11*1000/'[6]Final income'!W11</f>
        <v>1.771085028790617</v>
      </c>
    </row>
    <row r="12" spans="1:23">
      <c r="A12" s="65" t="s">
        <v>112</v>
      </c>
      <c r="B12" s="177" t="s">
        <v>25</v>
      </c>
      <c r="C12" s="177">
        <f>'[6]Final prices'!C12*1000/'[6]Final income'!C12</f>
        <v>2.4113907839298836</v>
      </c>
      <c r="D12" s="177">
        <f>'[6]Final prices'!D12*1000/'[6]Final income'!D12</f>
        <v>2.5434779824191782</v>
      </c>
      <c r="E12" s="177">
        <f>'[6]Final prices'!E12*1000/'[6]Final income'!E12</f>
        <v>2.6221995096126873</v>
      </c>
      <c r="F12" s="177">
        <f>'[6]Final prices'!F12*1000/'[6]Final income'!F12</f>
        <v>2.5267989450719552</v>
      </c>
      <c r="G12" s="177">
        <f>'[6]Final prices'!G12*1000/'[6]Final income'!G12</f>
        <v>2.5082701488580414</v>
      </c>
      <c r="H12" s="177">
        <f>'[6]Final prices'!H12*1000/'[6]Final income'!H12</f>
        <v>2.55502972004903</v>
      </c>
      <c r="I12" s="177">
        <f>'[6]Final prices'!I12*1000/'[6]Final income'!I12</f>
        <v>2.6057557902000767</v>
      </c>
      <c r="J12" s="177">
        <f>'[6]Final prices'!J12*1000/'[6]Final income'!J12</f>
        <v>2.6651929539885422</v>
      </c>
      <c r="K12" s="177">
        <f>'[6]Final prices'!K12*1000/'[6]Final income'!K12</f>
        <v>2.646067517875383</v>
      </c>
      <c r="L12" s="177">
        <f>'[6]Final prices'!L12*1000/'[6]Final income'!L12</f>
        <v>2.9933950535202039</v>
      </c>
      <c r="M12" s="177">
        <f>'[6]Final prices'!M12*1000/'[6]Final income'!M12</f>
        <v>3.0263601131566884</v>
      </c>
      <c r="N12" s="177">
        <f>'[6]Final prices'!N12*1000/'[6]Final income'!N12</f>
        <v>3.085740096971723</v>
      </c>
      <c r="O12" s="177">
        <f>'[6]Final prices'!O12*1000/'[6]Final income'!O12</f>
        <v>3.1717164921827292</v>
      </c>
      <c r="P12" s="177">
        <f>'[6]Final prices'!P12*1000/'[6]Final income'!P12</f>
        <v>3.0994972045799423</v>
      </c>
      <c r="Q12" s="177">
        <f>'[6]Final prices'!Q12*1000/'[6]Final income'!Q12</f>
        <v>3.2625930784154704</v>
      </c>
      <c r="R12" s="177">
        <f>'[6]Final prices'!R12*1000/'[6]Final income'!R12</f>
        <v>3.251017356445955</v>
      </c>
      <c r="S12" s="177">
        <f>'[6]Final prices'!S12*1000/'[6]Final income'!S12</f>
        <v>3.2596451436965825</v>
      </c>
      <c r="T12" s="177">
        <f>'[6]Final prices'!T12*1000/'[6]Final income'!T12</f>
        <v>3.1913440038329961</v>
      </c>
      <c r="U12" s="177">
        <f>'[6]Final prices'!U12*1000/'[6]Final income'!U12</f>
        <v>3.2917083956664936</v>
      </c>
      <c r="V12" s="177">
        <f>'[6]Final prices'!V12*1000/'[6]Final income'!V12</f>
        <v>3.4197078182954175</v>
      </c>
      <c r="W12" s="177">
        <f>'[6]Final prices'!W12*1000/'[6]Final income'!W12</f>
        <v>3.2934033842991397</v>
      </c>
    </row>
    <row r="13" spans="1:23">
      <c r="A13" s="65" t="s">
        <v>113</v>
      </c>
      <c r="B13" s="177">
        <f>'[6]Final prices'!B13*1000/'[6]Final income'!B13</f>
        <v>2.2876200237436968</v>
      </c>
      <c r="C13" s="177">
        <f>'[6]Final prices'!C13*1000/'[6]Final income'!C13</f>
        <v>2.5117457357247832</v>
      </c>
      <c r="D13" s="177">
        <f>'[6]Final prices'!D13*1000/'[6]Final income'!D13</f>
        <v>2.5866662100926821</v>
      </c>
      <c r="E13" s="177">
        <f>'[6]Final prices'!E13*1000/'[6]Final income'!E13</f>
        <v>2.4626008235144639</v>
      </c>
      <c r="F13" s="177">
        <f>'[6]Final prices'!F13*1000/'[6]Final income'!F13</f>
        <v>2.5038884832715929</v>
      </c>
      <c r="G13" s="177">
        <f>'[6]Final prices'!G13*1000/'[6]Final income'!G13</f>
        <v>2.3203928891286081</v>
      </c>
      <c r="H13" s="177">
        <f>'[6]Final prices'!H13*1000/'[6]Final income'!H13</f>
        <v>2.2026546235693418</v>
      </c>
      <c r="I13" s="177">
        <f>'[6]Final prices'!I13*1000/'[6]Final income'!I13</f>
        <v>2.1822588088913082</v>
      </c>
      <c r="J13" s="177">
        <f>'[6]Final prices'!J13*1000/'[6]Final income'!J13</f>
        <v>2.0840056711698094</v>
      </c>
      <c r="K13" s="177">
        <f>'[6]Final prices'!K13*1000/'[6]Final income'!K13</f>
        <v>2.1461612729016237</v>
      </c>
      <c r="L13" s="177">
        <f>'[6]Final prices'!L13*1000/'[6]Final income'!L13</f>
        <v>2.5028122546647706</v>
      </c>
      <c r="M13" s="177">
        <f>'[6]Final prices'!M13*1000/'[6]Final income'!M13</f>
        <v>2.5901900011778327</v>
      </c>
      <c r="N13" s="177">
        <f>'[6]Final prices'!N13*1000/'[6]Final income'!N13</f>
        <v>2.901426851516216</v>
      </c>
      <c r="O13" s="177">
        <f>'[6]Final prices'!O13*1000/'[6]Final income'!O13</f>
        <v>3.3252965791372282</v>
      </c>
      <c r="P13" s="177">
        <f>'[6]Final prices'!P13*1000/'[6]Final income'!P13</f>
        <v>3.9681638317472872</v>
      </c>
      <c r="Q13" s="177">
        <f>'[6]Final prices'!Q13*1000/'[6]Final income'!Q13</f>
        <v>4.4847259059362061</v>
      </c>
      <c r="R13" s="177">
        <f>'[6]Final prices'!R13*1000/'[6]Final income'!R13</f>
        <v>4.5085383527909064</v>
      </c>
      <c r="S13" s="177">
        <f>'[6]Final prices'!S13*1000/'[6]Final income'!S13</f>
        <v>4.395593708674328</v>
      </c>
      <c r="T13" s="177">
        <f>'[6]Final prices'!T13*1000/'[6]Final income'!T13</f>
        <v>4.0529740613828205</v>
      </c>
      <c r="U13" s="177">
        <f>'[6]Final prices'!U13*1000/'[6]Final income'!U13</f>
        <v>3.7986794930289465</v>
      </c>
      <c r="V13" s="177">
        <f>'[6]Final prices'!V13*1000/'[6]Final income'!V13</f>
        <v>3.7257457370632543</v>
      </c>
      <c r="W13" s="177">
        <f>'[6]Final prices'!W13*1000/'[6]Final income'!W13</f>
        <v>3.3559674979631726</v>
      </c>
    </row>
    <row r="14" spans="1:23">
      <c r="A14" s="65" t="s">
        <v>114</v>
      </c>
      <c r="B14" s="177">
        <f>'[6]Final prices'!B14*1000/'[6]Final income'!B14</f>
        <v>2.5092787578475613</v>
      </c>
      <c r="C14" s="177">
        <f>'[6]Final prices'!C14*1000/'[6]Final income'!C14</f>
        <v>2.3782297888178334</v>
      </c>
      <c r="D14" s="177">
        <f>'[6]Final prices'!D14*1000/'[6]Final income'!D14</f>
        <v>2.5183501691386039</v>
      </c>
      <c r="E14" s="177">
        <f>'[6]Final prices'!E14*1000/'[6]Final income'!E14</f>
        <v>2.5190818699504272</v>
      </c>
      <c r="F14" s="177">
        <f>'[6]Final prices'!F14*1000/'[6]Final income'!F14</f>
        <v>2.6444574746423557</v>
      </c>
      <c r="G14" s="177">
        <f>'[6]Final prices'!G14*1000/'[6]Final income'!G14</f>
        <v>2.6439308341108183</v>
      </c>
      <c r="H14" s="177">
        <f>'[6]Final prices'!H14*1000/'[6]Final income'!H14</f>
        <v>2.5467703411590978</v>
      </c>
      <c r="I14" s="177">
        <f>'[6]Final prices'!I14*1000/'[6]Final income'!I14</f>
        <v>2.4345082792567796</v>
      </c>
      <c r="J14" s="177">
        <f>'[6]Final prices'!J14*1000/'[6]Final income'!J14</f>
        <v>2.7102586878355059</v>
      </c>
      <c r="K14" s="177">
        <f>'[6]Final prices'!K14*1000/'[6]Final income'!K14</f>
        <v>2.7692438061229812</v>
      </c>
      <c r="L14" s="177">
        <f>'[6]Final prices'!L14*1000/'[6]Final income'!L14</f>
        <v>2.896383616603416</v>
      </c>
      <c r="M14" s="177">
        <f>'[6]Final prices'!M14*1000/'[6]Final income'!M14</f>
        <v>3.0044357283436414</v>
      </c>
      <c r="N14" s="177">
        <f>'[6]Final prices'!N14*1000/'[6]Final income'!N14</f>
        <v>3.0517384666944789</v>
      </c>
      <c r="O14" s="177">
        <f>'[6]Final prices'!O14*1000/'[6]Final income'!O14</f>
        <v>3.1147853516237762</v>
      </c>
      <c r="P14" s="177">
        <f>'[6]Final prices'!P14*1000/'[6]Final income'!P14</f>
        <v>3.2022010415643116</v>
      </c>
      <c r="Q14" s="177">
        <f>'[6]Final prices'!Q14*1000/'[6]Final income'!Q14</f>
        <v>3.4729811647566255</v>
      </c>
      <c r="R14" s="177">
        <f>'[6]Final prices'!R14*1000/'[6]Final income'!R14</f>
        <v>3.8337962517732369</v>
      </c>
      <c r="S14" s="177">
        <f>'[6]Final prices'!S14*1000/'[6]Final income'!S14</f>
        <v>3.7722468133977527</v>
      </c>
      <c r="T14" s="177">
        <f>'[6]Final prices'!T14*1000/'[6]Final income'!T14</f>
        <v>3.3339886015749522</v>
      </c>
      <c r="U14" s="177">
        <f>'[6]Final prices'!U14*1000/'[6]Final income'!U14</f>
        <v>3.3911543372904958</v>
      </c>
      <c r="V14" s="177">
        <f>'[6]Final prices'!V14*1000/'[6]Final income'!V14</f>
        <v>3.5068469079469424</v>
      </c>
      <c r="W14" s="177">
        <f>'[6]Final prices'!W14*1000/'[6]Final income'!W14</f>
        <v>3.2140247632621137</v>
      </c>
    </row>
    <row r="15" spans="1:23">
      <c r="A15" s="65" t="s">
        <v>115</v>
      </c>
      <c r="B15" s="177">
        <f>'[6]Final prices'!B15*1000/'[6]Final income'!B15</f>
        <v>2.8820228591595183</v>
      </c>
      <c r="C15" s="177">
        <f>'[6]Final prices'!C15*1000/'[6]Final income'!C15</f>
        <v>2.9985587043715674</v>
      </c>
      <c r="D15" s="177">
        <f>'[6]Final prices'!D15*1000/'[6]Final income'!D15</f>
        <v>3.0369488969188376</v>
      </c>
      <c r="E15" s="177">
        <f>'[6]Final prices'!E15*1000/'[6]Final income'!E15</f>
        <v>3.3455646724950374</v>
      </c>
      <c r="F15" s="177">
        <f>'[6]Final prices'!F15*1000/'[6]Final income'!F15</f>
        <v>3.2621149962081679</v>
      </c>
      <c r="G15" s="177">
        <f>'[6]Final prices'!G15*1000/'[6]Final income'!G15</f>
        <v>3.600031832862197</v>
      </c>
      <c r="H15" s="177">
        <f>'[6]Final prices'!H15*1000/'[6]Final income'!H15</f>
        <v>3.4448624184049561</v>
      </c>
      <c r="I15" s="177">
        <f>'[6]Final prices'!I15*1000/'[6]Final income'!I15</f>
        <v>3.4437761048581867</v>
      </c>
      <c r="J15" s="177">
        <f>'[6]Final prices'!J15*1000/'[6]Final income'!J15</f>
        <v>3.1948064060581234</v>
      </c>
      <c r="K15" s="177">
        <f>'[6]Final prices'!K15*1000/'[6]Final income'!K15</f>
        <v>3.3021555571480348</v>
      </c>
      <c r="L15" s="177">
        <f>'[6]Final prices'!L15*1000/'[6]Final income'!L15</f>
        <v>3.2195125257522492</v>
      </c>
      <c r="M15" s="177">
        <f>'[6]Final prices'!M15*1000/'[6]Final income'!M15</f>
        <v>3.3711755586334533</v>
      </c>
      <c r="N15" s="177">
        <f>'[6]Final prices'!N15*1000/'[6]Final income'!N15</f>
        <v>3.4100679762552932</v>
      </c>
      <c r="O15" s="177">
        <f>'[6]Final prices'!O15*1000/'[6]Final income'!O15</f>
        <v>3.4076788234227067</v>
      </c>
      <c r="P15" s="177">
        <f>'[6]Final prices'!P15*1000/'[6]Final income'!P15</f>
        <v>3.4811158996482834</v>
      </c>
      <c r="Q15" s="177">
        <f>'[6]Final prices'!Q15*1000/'[6]Final income'!Q15</f>
        <v>3.70433219458676</v>
      </c>
      <c r="R15" s="177">
        <f>'[6]Final prices'!R15*1000/'[6]Final income'!R15</f>
        <v>3.6991054643679964</v>
      </c>
      <c r="S15" s="177">
        <f>'[6]Final prices'!S15*1000/'[6]Final income'!S15</f>
        <v>3.4290895793100353</v>
      </c>
      <c r="T15" s="177">
        <f>'[6]Final prices'!T15*1000/'[6]Final income'!T15</f>
        <v>3.0789861604280171</v>
      </c>
      <c r="U15" s="177">
        <f>'[6]Final prices'!U15*1000/'[6]Final income'!U15</f>
        <v>3.1153266569031266</v>
      </c>
      <c r="V15" s="177">
        <f>'[6]Final prices'!V15*1000/'[6]Final income'!V15</f>
        <v>3.1107498304701262</v>
      </c>
      <c r="W15" s="177">
        <f>'[6]Final prices'!W15*1000/'[6]Final income'!W15</f>
        <v>2.9738138719428298</v>
      </c>
    </row>
    <row r="16" spans="1:23">
      <c r="A16" s="65" t="s">
        <v>116</v>
      </c>
      <c r="B16" s="177">
        <f>'[6]Final prices'!B16*1000/'[6]Final income'!B16</f>
        <v>2.3946171169392887</v>
      </c>
      <c r="C16" s="177">
        <f>'[6]Final prices'!C16*1000/'[6]Final income'!C16</f>
        <v>2.5534780940420387</v>
      </c>
      <c r="D16" s="177">
        <f>'[6]Final prices'!D16*1000/'[6]Final income'!D16</f>
        <v>2.5730759754525914</v>
      </c>
      <c r="E16" s="177">
        <f>'[6]Final prices'!E16*1000/'[6]Final income'!E16</f>
        <v>2.5142027155279507</v>
      </c>
      <c r="F16" s="177">
        <f>'[6]Final prices'!F16*1000/'[6]Final income'!F16</f>
        <v>2.6820743726053937</v>
      </c>
      <c r="G16" s="177">
        <f>'[6]Final prices'!G16*1000/'[6]Final income'!G16</f>
        <v>2.5664238585664458</v>
      </c>
      <c r="H16" s="177">
        <f>'[6]Final prices'!H16*1000/'[6]Final income'!H16</f>
        <v>2.4670104697155599</v>
      </c>
      <c r="I16" s="177">
        <f>'[6]Final prices'!I16*1000/'[6]Final income'!I16</f>
        <v>2.5898609848878471</v>
      </c>
      <c r="J16" s="177">
        <f>'[6]Final prices'!J16*1000/'[6]Final income'!J16</f>
        <v>2.5204216397937129</v>
      </c>
      <c r="K16" s="177">
        <f>'[6]Final prices'!K16*1000/'[6]Final income'!K16</f>
        <v>2.9042780609026342</v>
      </c>
      <c r="L16" s="177">
        <f>'[6]Final prices'!L16*1000/'[6]Final income'!L16</f>
        <v>2.972335181534111</v>
      </c>
      <c r="M16" s="177">
        <f>'[6]Final prices'!M16*1000/'[6]Final income'!M16</f>
        <v>3.0088377836023676</v>
      </c>
      <c r="N16" s="177">
        <f>'[6]Final prices'!N16*1000/'[6]Final income'!N16</f>
        <v>2.9170134778519929</v>
      </c>
      <c r="O16" s="177">
        <f>'[6]Final prices'!O16*1000/'[6]Final income'!O16</f>
        <v>2.8977677596103093</v>
      </c>
      <c r="P16" s="177">
        <f>'[6]Final prices'!P16*1000/'[6]Final income'!P16</f>
        <v>3.0123289487712133</v>
      </c>
      <c r="Q16" s="177">
        <f>'[6]Final prices'!Q16*1000/'[6]Final income'!Q16</f>
        <v>3.3283253605891328</v>
      </c>
      <c r="R16" s="177">
        <f>'[6]Final prices'!R16*1000/'[6]Final income'!R16</f>
        <v>4.2792149660031864</v>
      </c>
      <c r="S16" s="177">
        <f>'[6]Final prices'!S16*1000/'[6]Final income'!S16</f>
        <v>3.9506617260011714</v>
      </c>
      <c r="T16" s="177">
        <f>'[6]Final prices'!T16*1000/'[6]Final income'!T16</f>
        <v>3.4954368923500918</v>
      </c>
      <c r="U16" s="177">
        <f>'[6]Final prices'!U16*1000/'[6]Final income'!U16</f>
        <v>3.1244430332308801</v>
      </c>
      <c r="V16" s="177">
        <f>'[6]Final prices'!V16*1000/'[6]Final income'!V16</f>
        <v>2.933304157424161</v>
      </c>
      <c r="W16" s="177">
        <f>'[6]Final prices'!W16*1000/'[6]Final income'!W16</f>
        <v>2.4800093935667129</v>
      </c>
    </row>
    <row r="17" spans="1:23">
      <c r="A17" s="65" t="s">
        <v>117</v>
      </c>
      <c r="B17" s="177">
        <f>'[6]Final prices'!B17*1000/'[6]Final income'!B17</f>
        <v>3.8827582232535072</v>
      </c>
      <c r="C17" s="177">
        <f>'[6]Final prices'!C17*1000/'[6]Final income'!C17</f>
        <v>3.8054281001025294</v>
      </c>
      <c r="D17" s="177">
        <f>'[6]Final prices'!D17*1000/'[6]Final income'!D17</f>
        <v>3.6982230229733073</v>
      </c>
      <c r="E17" s="177">
        <f>'[6]Final prices'!E17*1000/'[6]Final income'!E17</f>
        <v>3.6215638474680341</v>
      </c>
      <c r="F17" s="177">
        <f>'[6]Final prices'!F17*1000/'[6]Final income'!F17</f>
        <v>3.4508104768924888</v>
      </c>
      <c r="G17" s="177">
        <f>'[6]Final prices'!G17*1000/'[6]Final income'!G17</f>
        <v>3.5270238527836946</v>
      </c>
      <c r="H17" s="177">
        <f>'[6]Final prices'!H17*1000/'[6]Final income'!H17</f>
        <v>3.5923297358932551</v>
      </c>
      <c r="I17" s="177" t="s">
        <v>25</v>
      </c>
      <c r="J17" s="177" t="s">
        <v>25</v>
      </c>
      <c r="K17" s="177">
        <f>'[6]Final prices'!K17*1000/'[6]Final income'!K17</f>
        <v>4.3784030930890134</v>
      </c>
      <c r="L17" s="177">
        <f>'[6]Final prices'!L17*1000/'[6]Final income'!L17</f>
        <v>4.8654530840961785</v>
      </c>
      <c r="M17" s="177">
        <f>'[6]Final prices'!M17*1000/'[6]Final income'!M17</f>
        <v>4.9268389622549353</v>
      </c>
      <c r="N17" s="177">
        <f>'[6]Final prices'!N17*1000/'[6]Final income'!N17</f>
        <v>5.5114931256193271</v>
      </c>
      <c r="O17" s="177">
        <f>'[6]Final prices'!O17*1000/'[6]Final income'!O17</f>
        <v>6.0979784936298982</v>
      </c>
      <c r="P17" s="177">
        <f>'[6]Final prices'!P17*1000/'[6]Final income'!P17</f>
        <v>6.4067051364536347</v>
      </c>
      <c r="Q17" s="177">
        <f>'[6]Final prices'!Q17*1000/'[6]Final income'!Q17</f>
        <v>6.6213060790795026</v>
      </c>
      <c r="R17" s="177">
        <f>'[6]Final prices'!R17*1000/'[6]Final income'!R17</f>
        <v>6.1999350288614075</v>
      </c>
      <c r="S17" s="177">
        <f>'[6]Final prices'!S17*1000/'[6]Final income'!S17</f>
        <v>5.8761401207259309</v>
      </c>
      <c r="T17" s="177">
        <f>'[6]Final prices'!T17*1000/'[6]Final income'!T17</f>
        <v>5.0570350877815793</v>
      </c>
      <c r="U17" s="177">
        <f>'[6]Final prices'!U17*1000/'[6]Final income'!U17</f>
        <v>4.6986826986451113</v>
      </c>
      <c r="V17" s="177">
        <f>'[6]Final prices'!V17*1000/'[6]Final income'!V17</f>
        <v>5.1448220047691997</v>
      </c>
      <c r="W17" s="177">
        <f>'[6]Final prices'!W17*1000/'[6]Final income'!W17</f>
        <v>4.9409615673414748</v>
      </c>
    </row>
    <row r="18" spans="1:23">
      <c r="A18" s="65" t="s">
        <v>118</v>
      </c>
      <c r="B18" s="177" t="s">
        <v>25</v>
      </c>
      <c r="C18" s="177" t="s">
        <v>25</v>
      </c>
      <c r="D18" s="177" t="s">
        <v>25</v>
      </c>
      <c r="E18" s="177" t="s">
        <v>25</v>
      </c>
      <c r="F18" s="177" t="s">
        <v>25</v>
      </c>
      <c r="G18" s="177" t="s">
        <v>25</v>
      </c>
      <c r="H18" s="177" t="s">
        <v>25</v>
      </c>
      <c r="I18" s="177" t="s">
        <v>25</v>
      </c>
      <c r="J18" s="177" t="s">
        <v>25</v>
      </c>
      <c r="K18" s="177" t="s">
        <v>25</v>
      </c>
      <c r="L18" s="177" t="s">
        <v>25</v>
      </c>
      <c r="M18" s="177" t="s">
        <v>25</v>
      </c>
      <c r="N18" s="177">
        <f>'[6]Final prices'!N18*1000/'[6]Final income'!N18</f>
        <v>5.5187947800004702</v>
      </c>
      <c r="O18" s="177">
        <f>'[6]Final prices'!O18*1000/'[6]Final income'!O18</f>
        <v>6.2253332669268007</v>
      </c>
      <c r="P18" s="177">
        <f>'[6]Final prices'!P18*1000/'[6]Final income'!P18</f>
        <v>6.3138616095429381</v>
      </c>
      <c r="Q18" s="177">
        <f>'[6]Final prices'!Q18*1000/'[6]Final income'!Q18</f>
        <v>6.7460331532913216</v>
      </c>
      <c r="R18" s="177">
        <f>'[6]Final prices'!R18*1000/'[6]Final income'!R18</f>
        <v>6.3469943531956359</v>
      </c>
      <c r="S18" s="177">
        <f>'[6]Final prices'!S18*1000/'[6]Final income'!S18</f>
        <v>6.054370421269093</v>
      </c>
      <c r="T18" s="177">
        <f>'[6]Final prices'!T18*1000/'[6]Final income'!T18</f>
        <v>5.1750884366119942</v>
      </c>
      <c r="U18" s="177">
        <f>'[6]Final prices'!U18*1000/'[6]Final income'!U18</f>
        <v>4.5987927248682832</v>
      </c>
      <c r="V18" s="177">
        <f>'[6]Final prices'!V18*1000/'[6]Final income'!V18</f>
        <v>5.2733391498757705</v>
      </c>
      <c r="W18" s="177">
        <f>'[6]Final prices'!W18*1000/'[6]Final income'!W18</f>
        <v>5.2112791602376767</v>
      </c>
    </row>
    <row r="19" spans="1:23">
      <c r="A19" s="65" t="s">
        <v>119</v>
      </c>
      <c r="B19" s="177">
        <f>'[6]Final prices'!B19*1000/'[6]Final income'!B19</f>
        <v>2.7396557416296448</v>
      </c>
      <c r="C19" s="177">
        <f>'[6]Final prices'!C19*1000/'[6]Final income'!C19</f>
        <v>2.8043008583516902</v>
      </c>
      <c r="D19" s="177">
        <f>'[6]Final prices'!D19*1000/'[6]Final income'!D19</f>
        <v>2.9241203425091542</v>
      </c>
      <c r="E19" s="177">
        <f>'[6]Final prices'!E19*1000/'[6]Final income'!E19</f>
        <v>2.8892827610661964</v>
      </c>
      <c r="F19" s="177">
        <f>'[6]Final prices'!F19*1000/'[6]Final income'!F19</f>
        <v>2.8106524836611739</v>
      </c>
      <c r="G19" s="177">
        <f>'[6]Final prices'!G19*1000/'[6]Final income'!G19</f>
        <v>2.6465759428555105</v>
      </c>
      <c r="H19" s="177">
        <f>'[6]Final prices'!H19*1000/'[6]Final income'!H19</f>
        <v>2.4851360675985417</v>
      </c>
      <c r="I19" s="177">
        <f>'[6]Final prices'!I19*1000/'[6]Final income'!I19</f>
        <v>2.405206512401215</v>
      </c>
      <c r="J19" s="177">
        <f>'[6]Final prices'!J19*1000/'[6]Final income'!J19</f>
        <v>2.3451806376421223</v>
      </c>
      <c r="K19" s="177">
        <f>'[6]Final prices'!K19*1000/'[6]Final income'!K19</f>
        <v>2.1415766249630175</v>
      </c>
      <c r="L19" s="177">
        <f>'[6]Final prices'!L19*1000/'[6]Final income'!L19</f>
        <v>2.0731697482361713</v>
      </c>
      <c r="M19" s="177">
        <f>'[6]Final prices'!M19*1000/'[6]Final income'!M19</f>
        <v>2.1660429891273112</v>
      </c>
      <c r="N19" s="177">
        <f>'[6]Final prices'!N19*1000/'[6]Final income'!N19</f>
        <v>2.1756577868698215</v>
      </c>
      <c r="O19" s="177">
        <f>'[6]Final prices'!O19*1000/'[6]Final income'!O19</f>
        <v>2.1777918905237859</v>
      </c>
      <c r="P19" s="177">
        <f>'[6]Final prices'!P19*1000/'[6]Final income'!P19</f>
        <v>2.1948887548123142</v>
      </c>
      <c r="Q19" s="177">
        <f>'[6]Final prices'!Q19*1000/'[6]Final income'!Q19</f>
        <v>2.2339199111023769</v>
      </c>
      <c r="R19" s="177">
        <f>'[6]Final prices'!R19*1000/'[6]Final income'!R19</f>
        <v>2.240051995365691</v>
      </c>
      <c r="S19" s="177">
        <f>'[6]Final prices'!S19*1000/'[6]Final income'!S19</f>
        <v>2.3280008375368033</v>
      </c>
      <c r="T19" s="177">
        <f>'[6]Final prices'!T19*1000/'[6]Final income'!T19</f>
        <v>2.2958486649985517</v>
      </c>
      <c r="U19" s="177">
        <f>'[6]Final prices'!U19*1000/'[6]Final income'!U19</f>
        <v>2.4460925556575108</v>
      </c>
      <c r="V19" s="177">
        <f>'[6]Final prices'!V19*1000/'[6]Final income'!V19</f>
        <v>2.6421267811825535</v>
      </c>
      <c r="W19" s="177">
        <f>'[6]Final prices'!W19*1000/'[6]Final income'!W19</f>
        <v>2.5283643024127769</v>
      </c>
    </row>
    <row r="20" spans="1:23">
      <c r="A20" s="65" t="s">
        <v>120</v>
      </c>
      <c r="B20" s="177">
        <f>'[6]Final prices'!B20*1000/'[6]Final income'!B20</f>
        <v>2.3242644823591521</v>
      </c>
      <c r="C20" s="177">
        <f>'[6]Final prices'!C20*1000/'[6]Final income'!C20</f>
        <v>2.3281891463753959</v>
      </c>
      <c r="D20" s="177">
        <f>'[6]Final prices'!D20*1000/'[6]Final income'!D20</f>
        <v>2.2996145949588591</v>
      </c>
      <c r="E20" s="177">
        <f>'[6]Final prices'!E20*1000/'[6]Final income'!E20</f>
        <v>2.3663881671396525</v>
      </c>
      <c r="F20" s="177">
        <f>'[6]Final prices'!F20*1000/'[6]Final income'!F20</f>
        <v>2.3242569316082711</v>
      </c>
      <c r="G20" s="177">
        <f>'[6]Final prices'!G20*1000/'[6]Final income'!G20</f>
        <v>2.2670592063875139</v>
      </c>
      <c r="H20" s="177">
        <f>'[6]Final prices'!H20*1000/'[6]Final income'!H20</f>
        <v>2.2291061958853029</v>
      </c>
      <c r="I20" s="177">
        <f>'[6]Final prices'!I20*1000/'[6]Final income'!I20</f>
        <v>2.2851509141505173</v>
      </c>
      <c r="J20" s="177">
        <f>'[6]Final prices'!J20*1000/'[6]Final income'!J20</f>
        <v>2.2023238776922249</v>
      </c>
      <c r="K20" s="177">
        <f>'[6]Final prices'!K20*1000/'[6]Final income'!K20</f>
        <v>2.3400878785463393</v>
      </c>
      <c r="L20" s="177">
        <f>'[6]Final prices'!L20*1000/'[6]Final income'!L20</f>
        <v>2.5261638728710145</v>
      </c>
      <c r="M20" s="177">
        <f>'[6]Final prices'!M20*1000/'[6]Final income'!M20</f>
        <v>3.0575458426615256</v>
      </c>
      <c r="N20" s="177">
        <f>'[6]Final prices'!N20*1000/'[6]Final income'!N20</f>
        <v>3.2512212441814281</v>
      </c>
      <c r="O20" s="177">
        <f>'[6]Final prices'!O20*1000/'[6]Final income'!O20</f>
        <v>3.5884314362011653</v>
      </c>
      <c r="P20" s="177">
        <f>'[6]Final prices'!P20*1000/'[6]Final income'!P20</f>
        <v>4.2080673473463923</v>
      </c>
      <c r="Q20" s="177">
        <f>'[6]Final prices'!Q20*1000/'[6]Final income'!Q20</f>
        <v>5.8012900159657939</v>
      </c>
      <c r="R20" s="177">
        <f>'[6]Final prices'!R20*1000/'[6]Final income'!R20</f>
        <v>5.3495842664950128</v>
      </c>
      <c r="S20" s="177">
        <f>'[6]Final prices'!S20*1000/'[6]Final income'!S20</f>
        <v>4.7865409252261646</v>
      </c>
      <c r="T20" s="177">
        <f>'[6]Final prices'!T20*1000/'[6]Final income'!T20</f>
        <v>3.258923452580532</v>
      </c>
      <c r="U20" s="177">
        <f>'[6]Final prices'!U20*1000/'[6]Final income'!U20</f>
        <v>1.9154092547661166</v>
      </c>
      <c r="V20" s="177">
        <f>'[6]Final prices'!V20*1000/'[6]Final income'!V20</f>
        <v>2.0174312982962772</v>
      </c>
      <c r="W20" s="177">
        <f>'[6]Final prices'!W20*1000/'[6]Final income'!W20</f>
        <v>2.303406745236102</v>
      </c>
    </row>
    <row r="21" spans="1:23">
      <c r="A21" s="65" t="s">
        <v>121</v>
      </c>
      <c r="B21" s="177">
        <f>'[6]Final prices'!B21*1000/'[6]Final income'!B21</f>
        <v>2.333746400571922</v>
      </c>
      <c r="C21" s="177">
        <f>'[6]Final prices'!C21*1000/'[6]Final income'!C21</f>
        <v>2.5567871525619092</v>
      </c>
      <c r="D21" s="177">
        <f>'[6]Final prices'!D21*1000/'[6]Final income'!D21</f>
        <v>2.6518741349196882</v>
      </c>
      <c r="E21" s="177">
        <f>'[6]Final prices'!E21*1000/'[6]Final income'!E21</f>
        <v>3.083013883628547</v>
      </c>
      <c r="F21" s="177">
        <f>'[6]Final prices'!F21*1000/'[6]Final income'!F21</f>
        <v>2.7406240229368595</v>
      </c>
      <c r="G21" s="177">
        <f>'[6]Final prices'!G21*1000/'[6]Final income'!G21</f>
        <v>2.8972222844811153</v>
      </c>
      <c r="H21" s="177">
        <f>'[6]Final prices'!H21*1000/'[6]Final income'!H21</f>
        <v>2.4545511837940919</v>
      </c>
      <c r="I21" s="177">
        <f>'[6]Final prices'!I21*1000/'[6]Final income'!I21</f>
        <v>2.7172036195723157</v>
      </c>
      <c r="J21" s="177">
        <f>'[6]Final prices'!J21*1000/'[6]Final income'!J21</f>
        <v>3.2320691274350692</v>
      </c>
      <c r="K21" s="177">
        <f>'[6]Final prices'!K21*1000/'[6]Final income'!K21</f>
        <v>3.341900686232306</v>
      </c>
      <c r="L21" s="177">
        <f>'[6]Final prices'!L21*1000/'[6]Final income'!L21</f>
        <v>3.4543652627733348</v>
      </c>
      <c r="M21" s="177">
        <f>'[6]Final prices'!M21*1000/'[6]Final income'!M21</f>
        <v>3.7151574021420228</v>
      </c>
      <c r="N21" s="177">
        <f>'[6]Final prices'!N21*1000/'[6]Final income'!N21</f>
        <v>3.8915924315651109</v>
      </c>
      <c r="O21" s="177">
        <f>'[6]Final prices'!O21*1000/'[6]Final income'!O21</f>
        <v>4.0396947642797603</v>
      </c>
      <c r="P21" s="177">
        <f>'[6]Final prices'!P21*1000/'[6]Final income'!P21</f>
        <v>4.2210783909232834</v>
      </c>
      <c r="Q21" s="177">
        <f>'[6]Final prices'!Q21*1000/'[6]Final income'!Q21</f>
        <v>4.5111656446579538</v>
      </c>
      <c r="R21" s="177">
        <f>'[6]Final prices'!R21*1000/'[6]Final income'!R21</f>
        <v>4.6275451361571811</v>
      </c>
      <c r="S21" s="177">
        <f>'[6]Final prices'!S21*1000/'[6]Final income'!S21</f>
        <v>4.411749125944981</v>
      </c>
      <c r="T21" s="177">
        <f>'[6]Final prices'!T21*1000/'[6]Final income'!T21</f>
        <v>4.0458022758761372</v>
      </c>
      <c r="U21" s="177">
        <f>'[6]Final prices'!U21*1000/'[6]Final income'!U21</f>
        <v>3.9691111431107609</v>
      </c>
      <c r="V21" s="177">
        <f>'[6]Final prices'!V21*1000/'[6]Final income'!V21</f>
        <v>4.1899277448174876</v>
      </c>
      <c r="W21" s="177">
        <f>'[6]Final prices'!W21*1000/'[6]Final income'!W21</f>
        <v>4.0099953642117656</v>
      </c>
    </row>
    <row r="22" spans="1:23">
      <c r="A22" s="65" t="s">
        <v>122</v>
      </c>
      <c r="B22" s="177">
        <f>'[6]Final prices'!B22*1000/'[6]Final income'!B22</f>
        <v>2.8177256791652585</v>
      </c>
      <c r="C22" s="177">
        <f>'[6]Final prices'!C22*1000/'[6]Final income'!C22</f>
        <v>3.0330716381138374</v>
      </c>
      <c r="D22" s="177">
        <f>'[6]Final prices'!D22*1000/'[6]Final income'!D22</f>
        <v>2.9530082763611967</v>
      </c>
      <c r="E22" s="177">
        <f>'[6]Final prices'!E22*1000/'[6]Final income'!E22</f>
        <v>2.9437075336974172</v>
      </c>
      <c r="F22" s="177">
        <f>'[6]Final prices'!F22*1000/'[6]Final income'!F22</f>
        <v>2.7864837945386114</v>
      </c>
      <c r="G22" s="177">
        <f>'[6]Final prices'!G22*1000/'[6]Final income'!G22</f>
        <v>2.6459507713713619</v>
      </c>
      <c r="H22" s="177">
        <f>'[6]Final prices'!H22*1000/'[6]Final income'!H22</f>
        <v>2.5599801399088951</v>
      </c>
      <c r="I22" s="177">
        <f>'[6]Final prices'!I22*1000/'[6]Final income'!I22</f>
        <v>2.6907761807641686</v>
      </c>
      <c r="J22" s="177">
        <f>'[6]Final prices'!J22*1000/'[6]Final income'!J22</f>
        <v>2.9098954385004419</v>
      </c>
      <c r="K22" s="177">
        <f>'[6]Final prices'!K22*1000/'[6]Final income'!K22</f>
        <v>2.9047266491454655</v>
      </c>
      <c r="L22" s="177">
        <f>'[6]Final prices'!L22*1000/'[6]Final income'!L22</f>
        <v>2.9857921962734708</v>
      </c>
      <c r="M22" s="177">
        <f>'[6]Final prices'!M22*1000/'[6]Final income'!M22</f>
        <v>3.0817905373964254</v>
      </c>
      <c r="N22" s="177">
        <f>'[6]Final prices'!N22*1000/'[6]Final income'!N22</f>
        <v>3.1786057391518585</v>
      </c>
      <c r="O22" s="177">
        <f>'[6]Final prices'!O22*1000/'[6]Final income'!O22</f>
        <v>3.3958894468411911</v>
      </c>
      <c r="P22" s="177">
        <f>'[6]Final prices'!P22*1000/'[6]Final income'!P22</f>
        <v>3.4963308407065425</v>
      </c>
      <c r="Q22" s="177">
        <f>'[6]Final prices'!Q22*1000/'[6]Final income'!Q22</f>
        <v>3.7080612203178234</v>
      </c>
      <c r="R22" s="177">
        <f>'[6]Final prices'!R22*1000/'[6]Final income'!R22</f>
        <v>3.7820336305637774</v>
      </c>
      <c r="S22" s="177">
        <f>'[6]Final prices'!S22*1000/'[6]Final income'!S22</f>
        <v>3.8730317626772921</v>
      </c>
      <c r="T22" s="177">
        <f>'[6]Final prices'!T22*1000/'[6]Final income'!T22</f>
        <v>3.594914186871021</v>
      </c>
      <c r="U22" s="177">
        <f>'[6]Final prices'!U22*1000/'[6]Final income'!U22</f>
        <v>3.6596134936252729</v>
      </c>
      <c r="V22" s="177">
        <f>'[6]Final prices'!V22*1000/'[6]Final income'!V22</f>
        <v>3.7368677551675193</v>
      </c>
      <c r="W22" s="177">
        <f>'[6]Final prices'!W22*1000/'[6]Final income'!W22</f>
        <v>3.9045821109906824</v>
      </c>
    </row>
    <row r="23" spans="1:23">
      <c r="A23" s="65" t="s">
        <v>123</v>
      </c>
      <c r="B23" s="177">
        <f>'[6]Final prices'!B23*1000/'[6]Final income'!B23</f>
        <v>2.6358654070654217</v>
      </c>
      <c r="C23" s="177">
        <f>'[6]Final prices'!C23*1000/'[6]Final income'!C23</f>
        <v>2.6157547041355591</v>
      </c>
      <c r="D23" s="177">
        <f>'[6]Final prices'!D23*1000/'[6]Final income'!D23</f>
        <v>2.6818110783356661</v>
      </c>
      <c r="E23" s="177">
        <f>'[6]Final prices'!E23*1000/'[6]Final income'!E23</f>
        <v>2.5873216284690459</v>
      </c>
      <c r="F23" s="177">
        <f>'[6]Final prices'!F23*1000/'[6]Final income'!F23</f>
        <v>2.4961612226613008</v>
      </c>
      <c r="G23" s="177">
        <f>'[6]Final prices'!G23*1000/'[6]Final income'!G23</f>
        <v>2.589321054278003</v>
      </c>
      <c r="H23" s="177">
        <f>'[6]Final prices'!H23*1000/'[6]Final income'!H23</f>
        <v>2.747487189217285</v>
      </c>
      <c r="I23" s="177">
        <f>'[6]Final prices'!I23*1000/'[6]Final income'!I23</f>
        <v>2.7793113305931678</v>
      </c>
      <c r="J23" s="177">
        <f>'[6]Final prices'!J23*1000/'[6]Final income'!J23</f>
        <v>2.7109452116719033</v>
      </c>
      <c r="K23" s="177">
        <f>'[6]Final prices'!K23*1000/'[6]Final income'!K23</f>
        <v>2.6387693323854915</v>
      </c>
      <c r="L23" s="177">
        <f>'[6]Final prices'!L23*1000/'[6]Final income'!L23</f>
        <v>2.6908468263930443</v>
      </c>
      <c r="M23" s="177">
        <f>'[6]Final prices'!M23*1000/'[6]Final income'!M23</f>
        <v>2.8306646481911435</v>
      </c>
      <c r="N23" s="177">
        <f>'[6]Final prices'!N23*1000/'[6]Final income'!N23</f>
        <v>2.9534998186961485</v>
      </c>
      <c r="O23" s="177">
        <f>'[6]Final prices'!O23*1000/'[6]Final income'!O23</f>
        <v>2.9802314310496207</v>
      </c>
      <c r="P23" s="177">
        <f>'[6]Final prices'!P23*1000/'[6]Final income'!P23</f>
        <v>3.1635174511489765</v>
      </c>
      <c r="Q23" s="177">
        <f>'[6]Final prices'!Q23*1000/'[6]Final income'!Q23</f>
        <v>3.2698827145840803</v>
      </c>
      <c r="R23" s="177">
        <f>'[6]Final prices'!R23*1000/'[6]Final income'!R23</f>
        <v>3.3009965125933292</v>
      </c>
      <c r="S23" s="177">
        <f>'[6]Final prices'!S23*1000/'[6]Final income'!S23</f>
        <v>3.0012164483844312</v>
      </c>
      <c r="T23" s="177">
        <f>'[6]Final prices'!T23*1000/'[6]Final income'!T23</f>
        <v>2.8660770103813533</v>
      </c>
      <c r="U23" s="177">
        <f>'[6]Final prices'!U23*1000/'[6]Final income'!U23</f>
        <v>2.8729255950741255</v>
      </c>
      <c r="V23" s="177">
        <f>'[6]Final prices'!V23*1000/'[6]Final income'!V23</f>
        <v>2.8705055424816468</v>
      </c>
      <c r="W23" s="177">
        <f>'[6]Final prices'!W23*1000/'[6]Final income'!W23</f>
        <v>2.7994085160336035</v>
      </c>
    </row>
    <row r="24" spans="1:23">
      <c r="A24" s="65" t="s">
        <v>124</v>
      </c>
      <c r="B24" s="177">
        <f>'[6]Final prices'!B24*1000/'[6]Final income'!B24</f>
        <v>2.9452455712831207</v>
      </c>
      <c r="C24" s="177">
        <f>'[6]Final prices'!C24*1000/'[6]Final income'!C24</f>
        <v>3.336168335959492</v>
      </c>
      <c r="D24" s="177">
        <f>'[6]Final prices'!D24*1000/'[6]Final income'!D24</f>
        <v>3.5191591700737588</v>
      </c>
      <c r="E24" s="177">
        <f>'[6]Final prices'!E24*1000/'[6]Final income'!E24</f>
        <v>3.5132246899229553</v>
      </c>
      <c r="F24" s="177">
        <f>'[6]Final prices'!F24*1000/'[6]Final income'!F24</f>
        <v>3.3666687824765433</v>
      </c>
      <c r="G24" s="177">
        <f>'[6]Final prices'!G24*1000/'[6]Final income'!G24</f>
        <v>3.1669001202934042</v>
      </c>
      <c r="H24" s="177">
        <f>'[6]Final prices'!H24*1000/'[6]Final income'!H24</f>
        <v>3.1654457509928209</v>
      </c>
      <c r="I24" s="177">
        <f>'[6]Final prices'!I24*1000/'[6]Final income'!I24</f>
        <v>3.1465953233232624</v>
      </c>
      <c r="J24" s="177">
        <f>'[6]Final prices'!J24*1000/'[6]Final income'!J24</f>
        <v>3.162003424765909</v>
      </c>
      <c r="K24" s="177">
        <f>'[6]Final prices'!K24*1000/'[6]Final income'!K24</f>
        <v>3.1141315637340141</v>
      </c>
      <c r="L24" s="177">
        <f>'[6]Final prices'!L24*1000/'[6]Final income'!L24</f>
        <v>3.2331182033443424</v>
      </c>
      <c r="M24" s="177">
        <f>'[6]Final prices'!M24*1000/'[6]Final income'!M24</f>
        <v>3.5955042797528569</v>
      </c>
      <c r="N24" s="177">
        <f>'[6]Final prices'!N24*1000/'[6]Final income'!N24</f>
        <v>3.9971878803558791</v>
      </c>
      <c r="O24" s="177">
        <f>'[6]Final prices'!O24*1000/'[6]Final income'!O24</f>
        <v>4.1543002213533633</v>
      </c>
      <c r="P24" s="177">
        <f>'[6]Final prices'!P24*1000/'[6]Final income'!P24</f>
        <v>4.4892620128040432</v>
      </c>
      <c r="Q24" s="177">
        <f>'[6]Final prices'!Q24*1000/'[6]Final income'!Q24</f>
        <v>4.7717644173273994</v>
      </c>
      <c r="R24" s="177">
        <f>'[6]Final prices'!R24*1000/'[6]Final income'!R24</f>
        <v>4.7856468981445168</v>
      </c>
      <c r="S24" s="177">
        <f>'[6]Final prices'!S24*1000/'[6]Final income'!S24</f>
        <v>4.6090065984527246</v>
      </c>
      <c r="T24" s="177">
        <f>'[6]Final prices'!T24*1000/'[6]Final income'!T24</f>
        <v>3.9528357275514634</v>
      </c>
      <c r="U24" s="177">
        <f>'[6]Final prices'!U24*1000/'[6]Final income'!U24</f>
        <v>3.3541368066216477</v>
      </c>
      <c r="V24" s="177">
        <f>'[6]Final prices'!V24*1000/'[6]Final income'!V24</f>
        <v>3.3196000330789146</v>
      </c>
      <c r="W24" s="177">
        <f>'[6]Final prices'!W24*1000/'[6]Final income'!W24</f>
        <v>2.9651903451357402</v>
      </c>
    </row>
    <row r="25" spans="1:23">
      <c r="A25" s="65" t="s">
        <v>125</v>
      </c>
      <c r="B25" s="177">
        <f>'[6]Final prices'!B25*1000/'[6]Final income'!B25</f>
        <v>2.4953856726326897</v>
      </c>
      <c r="C25" s="177">
        <f>'[6]Final prices'!C25*1000/'[6]Final income'!C25</f>
        <v>2.6601861327481977</v>
      </c>
      <c r="D25" s="177">
        <f>'[6]Final prices'!D25*1000/'[6]Final income'!D25</f>
        <v>2.6370283525857641</v>
      </c>
      <c r="E25" s="177">
        <f>'[6]Final prices'!E25*1000/'[6]Final income'!E25</f>
        <v>2.6856753769274002</v>
      </c>
      <c r="F25" s="177">
        <f>'[6]Final prices'!F25*1000/'[6]Final income'!F25</f>
        <v>2.7418350687484376</v>
      </c>
      <c r="G25" s="177">
        <f>'[6]Final prices'!G25*1000/'[6]Final income'!G25</f>
        <v>2.5602070865584761</v>
      </c>
      <c r="H25" s="177">
        <f>'[6]Final prices'!H25*1000/'[6]Final income'!H25</f>
        <v>2.6712602127181206</v>
      </c>
      <c r="I25" s="177">
        <f>'[6]Final prices'!I25*1000/'[6]Final income'!I25</f>
        <v>2.6469912515736502</v>
      </c>
      <c r="J25" s="177">
        <f>'[6]Final prices'!J25*1000/'[6]Final income'!J25</f>
        <v>2.573252434165719</v>
      </c>
      <c r="K25" s="177">
        <f>'[6]Final prices'!K25*1000/'[6]Final income'!K25</f>
        <v>2.6939992624004261</v>
      </c>
      <c r="L25" s="177">
        <f>'[6]Final prices'!L25*1000/'[6]Final income'!L25</f>
        <v>2.8574099018902781</v>
      </c>
      <c r="M25" s="177">
        <f>'[6]Final prices'!M25*1000/'[6]Final income'!M25</f>
        <v>2.9114705151718496</v>
      </c>
      <c r="N25" s="177">
        <f>'[6]Final prices'!N25*1000/'[6]Final income'!N25</f>
        <v>2.9705850529096356</v>
      </c>
      <c r="O25" s="177">
        <f>'[6]Final prices'!O25*1000/'[6]Final income'!O25</f>
        <v>3.0273994658163024</v>
      </c>
      <c r="P25" s="177">
        <f>'[6]Final prices'!P25*1000/'[6]Final income'!P25</f>
        <v>3.0282144992750015</v>
      </c>
      <c r="Q25" s="177">
        <f>'[6]Final prices'!Q25*1000/'[6]Final income'!Q25</f>
        <v>2.9833516236853672</v>
      </c>
      <c r="R25" s="177">
        <f>'[6]Final prices'!R25*1000/'[6]Final income'!R25</f>
        <v>2.8521563124267026</v>
      </c>
      <c r="S25" s="177">
        <f>'[6]Final prices'!S25*1000/'[6]Final income'!S25</f>
        <v>2.6898972891462187</v>
      </c>
      <c r="T25" s="177">
        <f>'[6]Final prices'!T25*1000/'[6]Final income'!T25</f>
        <v>2.4138092766106967</v>
      </c>
      <c r="U25" s="177">
        <f>'[6]Final prices'!U25*1000/'[6]Final income'!U25</f>
        <v>2.3940129022524554</v>
      </c>
      <c r="V25" s="177">
        <f>'[6]Final prices'!V25*1000/'[6]Final income'!V25</f>
        <v>2.4828143456077081</v>
      </c>
      <c r="W25" s="177">
        <f>'[6]Final prices'!W25*1000/'[6]Final income'!W25</f>
        <v>2.3006966448920965</v>
      </c>
    </row>
    <row r="26" spans="1:23">
      <c r="A26" s="65" t="s">
        <v>126</v>
      </c>
      <c r="B26" s="177">
        <f>'[6]Final prices'!B26*1000/'[6]Final income'!B26</f>
        <v>2.5286941338953541</v>
      </c>
      <c r="C26" s="177">
        <f>'[6]Final prices'!C26*1000/'[6]Final income'!C26</f>
        <v>2.7097812080781343</v>
      </c>
      <c r="D26" s="177">
        <f>'[6]Final prices'!D26*1000/'[6]Final income'!D26</f>
        <v>2.7002283896534642</v>
      </c>
      <c r="E26" s="177">
        <f>'[6]Final prices'!E26*1000/'[6]Final income'!E26</f>
        <v>2.8128836974779219</v>
      </c>
      <c r="F26" s="177">
        <f>'[6]Final prices'!F26*1000/'[6]Final income'!F26</f>
        <v>2.8588182822792816</v>
      </c>
      <c r="G26" s="177">
        <f>'[6]Final prices'!G26*1000/'[6]Final income'!G26</f>
        <v>2.7428022692329304</v>
      </c>
      <c r="H26" s="177">
        <f>'[6]Final prices'!H26*1000/'[6]Final income'!H26</f>
        <v>3.017431461646165</v>
      </c>
      <c r="I26" s="177">
        <f>'[6]Final prices'!I26*1000/'[6]Final income'!I26</f>
        <v>2.9547916684222577</v>
      </c>
      <c r="J26" s="177">
        <f>'[6]Final prices'!J26*1000/'[6]Final income'!J26</f>
        <v>2.8530665102254802</v>
      </c>
      <c r="K26" s="177">
        <f>'[6]Final prices'!K26*1000/'[6]Final income'!K26</f>
        <v>2.8783493417174806</v>
      </c>
      <c r="L26" s="177">
        <f>'[6]Final prices'!L26*1000/'[6]Final income'!L26</f>
        <v>2.8560082301108456</v>
      </c>
      <c r="M26" s="177">
        <f>'[6]Final prices'!M26*1000/'[6]Final income'!M26</f>
        <v>3.2209609703849358</v>
      </c>
      <c r="N26" s="177" t="s">
        <v>25</v>
      </c>
      <c r="O26" s="177">
        <f>'[6]Final prices'!O26*1000/'[6]Final income'!O26</f>
        <v>3.1513602463517363</v>
      </c>
      <c r="P26" s="177">
        <f>'[6]Final prices'!P26*1000/'[6]Final income'!P26</f>
        <v>3.1512499832826855</v>
      </c>
      <c r="Q26" s="177">
        <f>'[6]Final prices'!Q26*1000/'[6]Final income'!Q26</f>
        <v>3.1400921524094589</v>
      </c>
      <c r="R26" s="177">
        <f>'[6]Final prices'!R26*1000/'[6]Final income'!R26</f>
        <v>2.9253288838352596</v>
      </c>
      <c r="S26" s="177">
        <f>'[6]Final prices'!S26*1000/'[6]Final income'!S26</f>
        <v>2.6974540976297083</v>
      </c>
      <c r="T26" s="177">
        <f>'[6]Final prices'!T26*1000/'[6]Final income'!T26</f>
        <v>2.1550952452285812</v>
      </c>
      <c r="U26" s="177">
        <f>'[6]Final prices'!U26*1000/'[6]Final income'!U26</f>
        <v>2.1737158440263107</v>
      </c>
      <c r="V26" s="177">
        <f>'[6]Final prices'!V26*1000/'[6]Final income'!V26</f>
        <v>2.500323785896144</v>
      </c>
      <c r="W26" s="177">
        <f>'[6]Final prices'!W26*1000/'[6]Final income'!W26</f>
        <v>2.1880728794948854</v>
      </c>
    </row>
    <row r="27" spans="1:23">
      <c r="A27" s="65" t="s">
        <v>127</v>
      </c>
      <c r="B27" s="177" t="s">
        <v>25</v>
      </c>
      <c r="C27" s="177" t="s">
        <v>25</v>
      </c>
      <c r="D27" s="177">
        <f>'[6]Final prices'!D27*1000/'[6]Final income'!D27</f>
        <v>2.5246635144487843</v>
      </c>
      <c r="E27" s="177">
        <f>'[6]Final prices'!E27*1000/'[6]Final income'!E27</f>
        <v>2.5893835370668836</v>
      </c>
      <c r="F27" s="177">
        <f>'[6]Final prices'!F27*1000/'[6]Final income'!F27</f>
        <v>2.6595853996065091</v>
      </c>
      <c r="G27" s="177">
        <f>'[6]Final prices'!G27*1000/'[6]Final income'!G27</f>
        <v>2.730861611369245</v>
      </c>
      <c r="H27" s="177">
        <f>'[6]Final prices'!H27*1000/'[6]Final income'!H27</f>
        <v>3.0103870445716274</v>
      </c>
      <c r="I27" s="177">
        <f>'[6]Final prices'!I27*1000/'[6]Final income'!I27</f>
        <v>3.0214024584590655</v>
      </c>
      <c r="J27" s="177">
        <f>'[6]Final prices'!J27*1000/'[6]Final income'!J27</f>
        <v>3.0115106050972682</v>
      </c>
      <c r="K27" s="177">
        <f>'[6]Final prices'!K27*1000/'[6]Final income'!K27</f>
        <v>3.0669581868266036</v>
      </c>
      <c r="L27" s="177">
        <f>'[6]Final prices'!L27*1000/'[6]Final income'!L27</f>
        <v>3.2435348342091315</v>
      </c>
      <c r="M27" s="177">
        <f>'[6]Final prices'!M27*1000/'[6]Final income'!M27</f>
        <v>3.5696660189750111</v>
      </c>
      <c r="N27" s="177">
        <f>'[6]Final prices'!N27*1000/'[6]Final income'!N27</f>
        <v>3.6270065332848458</v>
      </c>
      <c r="O27" s="177">
        <f>'[6]Final prices'!O27*1000/'[6]Final income'!O27</f>
        <v>3.5814694061766676</v>
      </c>
      <c r="P27" s="177">
        <f>'[6]Final prices'!P27*1000/'[6]Final income'!P27</f>
        <v>3.8868244690835745</v>
      </c>
      <c r="Q27" s="177">
        <f>'[6]Final prices'!Q27*1000/'[6]Final income'!Q27</f>
        <v>4.0437570767596505</v>
      </c>
      <c r="R27" s="177">
        <f>'[6]Final prices'!R27*1000/'[6]Final income'!R27</f>
        <v>4.1600676591012693</v>
      </c>
      <c r="S27" s="177">
        <f>'[6]Final prices'!S27*1000/'[6]Final income'!S27</f>
        <v>3.9013787351971274</v>
      </c>
      <c r="T27" s="177">
        <f>'[6]Final prices'!T27*1000/'[6]Final income'!T27</f>
        <v>3.5486935262264159</v>
      </c>
      <c r="U27" s="177">
        <f>'[6]Final prices'!U27*1000/'[6]Final income'!U27</f>
        <v>3.3922699622305683</v>
      </c>
      <c r="V27" s="177">
        <f>'[6]Final prices'!V27*1000/'[6]Final income'!V27</f>
        <v>3.68332428818205</v>
      </c>
      <c r="W27" s="177">
        <f>'[6]Final prices'!W27*1000/'[6]Final income'!W27</f>
        <v>3.4444980761401292</v>
      </c>
    </row>
    <row r="28" spans="1:23">
      <c r="A28" s="65" t="s">
        <v>128</v>
      </c>
      <c r="B28" s="177">
        <f>'[6]Final prices'!B28*1000/'[6]Final income'!B28</f>
        <v>2.2690410202208149</v>
      </c>
      <c r="C28" s="177">
        <f>'[6]Final prices'!C28*1000/'[6]Final income'!C28</f>
        <v>2.493304207130643</v>
      </c>
      <c r="D28" s="177">
        <f>'[6]Final prices'!D28*1000/'[6]Final income'!D28</f>
        <v>2.6206846895746736</v>
      </c>
      <c r="E28" s="177">
        <f>'[6]Final prices'!E28*1000/'[6]Final income'!E28</f>
        <v>2.7932406538403791</v>
      </c>
      <c r="F28" s="177">
        <f>'[6]Final prices'!F28*1000/'[6]Final income'!F28</f>
        <v>2.4911774536140237</v>
      </c>
      <c r="G28" s="177">
        <f>'[6]Final prices'!G28*1000/'[6]Final income'!G28</f>
        <v>2.6982750942384821</v>
      </c>
      <c r="H28" s="177">
        <f>'[6]Final prices'!H28*1000/'[6]Final income'!H28</f>
        <v>2.3225586398416653</v>
      </c>
      <c r="I28" s="177">
        <f>'[6]Final prices'!I28*1000/'[6]Final income'!I28</f>
        <v>2.5030586971306135</v>
      </c>
      <c r="J28" s="177">
        <f>'[6]Final prices'!J28*1000/'[6]Final income'!J28</f>
        <v>2.7278910112564185</v>
      </c>
      <c r="K28" s="177">
        <f>'[6]Final prices'!K28*1000/'[6]Final income'!K28</f>
        <v>2.6534956930574336</v>
      </c>
      <c r="L28" s="177">
        <f>'[6]Final prices'!L28*1000/'[6]Final income'!L28</f>
        <v>2.7264351663896123</v>
      </c>
      <c r="M28" s="177">
        <f>'[6]Final prices'!M28*1000/'[6]Final income'!M28</f>
        <v>2.7736090481114735</v>
      </c>
      <c r="N28" s="177">
        <f>'[6]Final prices'!N28*1000/'[6]Final income'!N28</f>
        <v>2.8406439792197271</v>
      </c>
      <c r="O28" s="177">
        <f>'[6]Final prices'!O28*1000/'[6]Final income'!O28</f>
        <v>2.8852617970455228</v>
      </c>
      <c r="P28" s="177">
        <f>'[6]Final prices'!P28*1000/'[6]Final income'!P28</f>
        <v>2.8581102849695923</v>
      </c>
      <c r="Q28" s="177">
        <f>'[6]Final prices'!Q28*1000/'[6]Final income'!Q28</f>
        <v>3.136367510450575</v>
      </c>
      <c r="R28" s="177">
        <f>'[6]Final prices'!R28*1000/'[6]Final income'!R28</f>
        <v>3.1097942426399916</v>
      </c>
      <c r="S28" s="177">
        <f>'[6]Final prices'!S28*1000/'[6]Final income'!S28</f>
        <v>3.0631425389122233</v>
      </c>
      <c r="T28" s="177">
        <f>'[6]Final prices'!T28*1000/'[6]Final income'!T28</f>
        <v>2.9373212761024807</v>
      </c>
      <c r="U28" s="177">
        <f>'[6]Final prices'!U28*1000/'[6]Final income'!U28</f>
        <v>2.9765389065442691</v>
      </c>
      <c r="V28" s="177">
        <f>'[6]Final prices'!V28*1000/'[6]Final income'!V28</f>
        <v>3.0967125372291453</v>
      </c>
      <c r="W28" s="177">
        <f>'[6]Final prices'!W28*1000/'[6]Final income'!W28</f>
        <v>3.0161217431274929</v>
      </c>
    </row>
    <row r="29" spans="1:23">
      <c r="A29" s="65" t="s">
        <v>129</v>
      </c>
      <c r="B29" s="177">
        <f>'[6]Final prices'!B29*1000/'[6]Final income'!B29</f>
        <v>2.5410479450328247</v>
      </c>
      <c r="C29" s="177">
        <f>'[6]Final prices'!C29*1000/'[6]Final income'!C29</f>
        <v>2.6432217618998264</v>
      </c>
      <c r="D29" s="177">
        <f>'[6]Final prices'!D29*1000/'[6]Final income'!D29</f>
        <v>2.664496209697333</v>
      </c>
      <c r="E29" s="177">
        <f>'[6]Final prices'!E29*1000/'[6]Final income'!E29</f>
        <v>2.6664403328508146</v>
      </c>
      <c r="F29" s="177">
        <f>'[6]Final prices'!F29*1000/'[6]Final income'!F29</f>
        <v>2.6865616737730793</v>
      </c>
      <c r="G29" s="177">
        <f>'[6]Final prices'!G29*1000/'[6]Final income'!G29</f>
        <v>2.5346466829425891</v>
      </c>
      <c r="H29" s="177">
        <f>'[6]Final prices'!H29*1000/'[6]Final income'!H29</f>
        <v>2.8215203091110759</v>
      </c>
      <c r="I29" s="177">
        <f>'[6]Final prices'!I29*1000/'[6]Final income'!I29</f>
        <v>2.8701349250000505</v>
      </c>
      <c r="J29" s="177">
        <f>'[6]Final prices'!J29*1000/'[6]Final income'!J29</f>
        <v>2.7344098284726659</v>
      </c>
      <c r="K29" s="177">
        <f>'[6]Final prices'!K29*1000/'[6]Final income'!K29</f>
        <v>2.7748657767921681</v>
      </c>
      <c r="L29" s="177">
        <f>'[6]Final prices'!L29*1000/'[6]Final income'!L29</f>
        <v>2.8572252775588822</v>
      </c>
      <c r="M29" s="177">
        <f>'[6]Final prices'!M29*1000/'[6]Final income'!M29</f>
        <v>2.9681608459928563</v>
      </c>
      <c r="N29" s="177">
        <f>'[6]Final prices'!N29*1000/'[6]Final income'!N29</f>
        <v>3.0686744525217691</v>
      </c>
      <c r="O29" s="177">
        <f>'[6]Final prices'!O29*1000/'[6]Final income'!O29</f>
        <v>3.0984619303452061</v>
      </c>
      <c r="P29" s="177">
        <f>'[6]Final prices'!P29*1000/'[6]Final income'!P29</f>
        <v>3.0597892545041017</v>
      </c>
      <c r="Q29" s="177">
        <f>'[6]Final prices'!Q29*1000/'[6]Final income'!Q29</f>
        <v>3.0670596895527802</v>
      </c>
      <c r="R29" s="177">
        <f>'[6]Final prices'!R29*1000/'[6]Final income'!R29</f>
        <v>2.9383331290504078</v>
      </c>
      <c r="S29" s="177">
        <f>'[6]Final prices'!S29*1000/'[6]Final income'!S29</f>
        <v>2.8007788763161252</v>
      </c>
      <c r="T29" s="177">
        <f>'[6]Final prices'!T29*1000/'[6]Final income'!T29</f>
        <v>2.5375609710124718</v>
      </c>
      <c r="U29" s="177">
        <f>'[6]Final prices'!U29*1000/'[6]Final income'!U29</f>
        <v>2.5841927277211263</v>
      </c>
      <c r="V29" s="177">
        <f>'[6]Final prices'!V29*1000/'[6]Final income'!V29</f>
        <v>2.60388254397306</v>
      </c>
      <c r="W29" s="177">
        <f>'[6]Final prices'!W29*1000/'[6]Final income'!W29</f>
        <v>2.3276841942825839</v>
      </c>
    </row>
    <row r="30" spans="1:23">
      <c r="A30" s="65" t="s">
        <v>130</v>
      </c>
      <c r="B30" s="177">
        <f>'[6]Final prices'!B30*1000/'[6]Final income'!B30</f>
        <v>2.530325404504469</v>
      </c>
      <c r="C30" s="177">
        <f>'[6]Final prices'!C30*1000/'[6]Final income'!C30</f>
        <v>2.5397983188250475</v>
      </c>
      <c r="D30" s="177">
        <f>'[6]Final prices'!D30*1000/'[6]Final income'!D30</f>
        <v>2.6115490053984711</v>
      </c>
      <c r="E30" s="177">
        <f>'[6]Final prices'!E30*1000/'[6]Final income'!E30</f>
        <v>2.622164156611742</v>
      </c>
      <c r="F30" s="177">
        <f>'[6]Final prices'!F30*1000/'[6]Final income'!F30</f>
        <v>2.4639328494791504</v>
      </c>
      <c r="G30" s="177">
        <f>'[6]Final prices'!G30*1000/'[6]Final income'!G30</f>
        <v>2.3854587938468619</v>
      </c>
      <c r="H30" s="177">
        <f>'[6]Final prices'!H30*1000/'[6]Final income'!H30</f>
        <v>2.489126352131898</v>
      </c>
      <c r="I30" s="177">
        <f>'[6]Final prices'!I30*1000/'[6]Final income'!I30</f>
        <v>2.5235826906070691</v>
      </c>
      <c r="J30" s="177">
        <f>'[6]Final prices'!J30*1000/'[6]Final income'!J30</f>
        <v>2.4518801403473862</v>
      </c>
      <c r="K30" s="177">
        <f>'[6]Final prices'!K30*1000/'[6]Final income'!K30</f>
        <v>2.3995601777850575</v>
      </c>
      <c r="L30" s="177">
        <f>'[6]Final prices'!L30*1000/'[6]Final income'!L30</f>
        <v>2.5016217172235589</v>
      </c>
      <c r="M30" s="177">
        <f>'[6]Final prices'!M30*1000/'[6]Final income'!M30</f>
        <v>2.6273480292157654</v>
      </c>
      <c r="N30" s="177">
        <f>'[6]Final prices'!N30*1000/'[6]Final income'!N30</f>
        <v>2.6954388252382171</v>
      </c>
      <c r="O30" s="177">
        <f>'[6]Final prices'!O30*1000/'[6]Final income'!O30</f>
        <v>2.8265880911309615</v>
      </c>
      <c r="P30" s="177">
        <f>'[6]Final prices'!P30*1000/'[6]Final income'!P30</f>
        <v>2.7485564072314217</v>
      </c>
      <c r="Q30" s="177">
        <f>'[6]Final prices'!Q30*1000/'[6]Final income'!Q30</f>
        <v>2.918859446309642</v>
      </c>
      <c r="R30" s="177">
        <f>'[6]Final prices'!R30*1000/'[6]Final income'!R30</f>
        <v>2.7991296796709051</v>
      </c>
      <c r="S30" s="177">
        <f>'[6]Final prices'!S30*1000/'[6]Final income'!S30</f>
        <v>2.6920555182963577</v>
      </c>
      <c r="T30" s="177">
        <f>'[6]Final prices'!T30*1000/'[6]Final income'!T30</f>
        <v>2.490590761201374</v>
      </c>
      <c r="U30" s="177">
        <f>'[6]Final prices'!U30*1000/'[6]Final income'!U30</f>
        <v>2.5093062072185739</v>
      </c>
      <c r="V30" s="177">
        <f>'[6]Final prices'!V30*1000/'[6]Final income'!V30</f>
        <v>2.5643107693597753</v>
      </c>
      <c r="W30" s="177">
        <f>'[6]Final prices'!W30*1000/'[6]Final income'!W30</f>
        <v>2.5547931557411538</v>
      </c>
    </row>
    <row r="31" spans="1:23">
      <c r="A31" s="65" t="s">
        <v>131</v>
      </c>
      <c r="B31" s="177">
        <f>'[6]Final prices'!B31*1000/'[6]Final income'!B31</f>
        <v>2.2272533251863411</v>
      </c>
      <c r="C31" s="177">
        <f>'[6]Final prices'!C31*1000/'[6]Final income'!C31</f>
        <v>2.4011867656217665</v>
      </c>
      <c r="D31" s="177">
        <f>'[6]Final prices'!D31*1000/'[6]Final income'!D31</f>
        <v>2.4294951073932141</v>
      </c>
      <c r="E31" s="177">
        <f>'[6]Final prices'!E31*1000/'[6]Final income'!E31</f>
        <v>2.4697813304977134</v>
      </c>
      <c r="F31" s="177">
        <f>'[6]Final prices'!F31*1000/'[6]Final income'!F31</f>
        <v>2.4919126926159971</v>
      </c>
      <c r="G31" s="177">
        <f>'[6]Final prices'!G31*1000/'[6]Final income'!G31</f>
        <v>2.3844300910748046</v>
      </c>
      <c r="H31" s="177">
        <f>'[6]Final prices'!H31*1000/'[6]Final income'!H31</f>
        <v>2.6274628538012452</v>
      </c>
      <c r="I31" s="177">
        <f>'[6]Final prices'!I31*1000/'[6]Final income'!I31</f>
        <v>2.5083845672030973</v>
      </c>
      <c r="J31" s="177">
        <f>'[6]Final prices'!J31*1000/'[6]Final income'!J31</f>
        <v>2.4606627138313328</v>
      </c>
      <c r="K31" s="177">
        <f>'[6]Final prices'!K31*1000/'[6]Final income'!K31</f>
        <v>2.4678936572797632</v>
      </c>
      <c r="L31" s="177">
        <f>'[6]Final prices'!L31*1000/'[6]Final income'!L31</f>
        <v>2.4644441852797208</v>
      </c>
      <c r="M31" s="177">
        <f>'[6]Final prices'!M31*1000/'[6]Final income'!M31</f>
        <v>2.5677734687378879</v>
      </c>
      <c r="N31" s="177">
        <f>'[6]Final prices'!N31*1000/'[6]Final income'!N31</f>
        <v>2.680340317950376</v>
      </c>
      <c r="O31" s="177">
        <f>'[6]Final prices'!O31*1000/'[6]Final income'!O31</f>
        <v>2.6885223675405849</v>
      </c>
      <c r="P31" s="177">
        <f>'[6]Final prices'!P31*1000/'[6]Final income'!P31</f>
        <v>2.6583553849373565</v>
      </c>
      <c r="Q31" s="177">
        <f>'[6]Final prices'!Q31*1000/'[6]Final income'!Q31</f>
        <v>2.6299655371190531</v>
      </c>
      <c r="R31" s="177">
        <f>'[6]Final prices'!R31*1000/'[6]Final income'!R31</f>
        <v>2.6133082656877309</v>
      </c>
      <c r="S31" s="177">
        <f>'[6]Final prices'!S31*1000/'[6]Final income'!S31</f>
        <v>2.4388052058590834</v>
      </c>
      <c r="T31" s="177">
        <f>'[6]Final prices'!T31*1000/'[6]Final income'!T31</f>
        <v>2.1792561674339397</v>
      </c>
      <c r="U31" s="177">
        <f>'[6]Final prices'!U31*1000/'[6]Final income'!U31</f>
        <v>2.2309445993365036</v>
      </c>
      <c r="V31" s="177">
        <f>'[6]Final prices'!V31*1000/'[6]Final income'!V31</f>
        <v>2.297186162550104</v>
      </c>
      <c r="W31" s="177">
        <f>'[6]Final prices'!W31*1000/'[6]Final income'!W31</f>
        <v>2.011953728711056</v>
      </c>
    </row>
    <row r="32" spans="1:23">
      <c r="A32" s="65" t="s">
        <v>132</v>
      </c>
      <c r="B32" s="177">
        <f>'[6]Final prices'!B32*1000/'[6]Final income'!B32</f>
        <v>2.3436109717934381</v>
      </c>
      <c r="C32" s="177">
        <f>'[6]Final prices'!C32*1000/'[6]Final income'!C32</f>
        <v>2.3889439699395663</v>
      </c>
      <c r="D32" s="177">
        <f>'[6]Final prices'!D32*1000/'[6]Final income'!D32</f>
        <v>2.5507284648893989</v>
      </c>
      <c r="E32" s="177">
        <f>'[6]Final prices'!E32*1000/'[6]Final income'!E32</f>
        <v>2.6341963766007863</v>
      </c>
      <c r="F32" s="177">
        <f>'[6]Final prices'!F32*1000/'[6]Final income'!F32</f>
        <v>2.7301538891086028</v>
      </c>
      <c r="G32" s="177">
        <f>'[6]Final prices'!G32*1000/'[6]Final income'!G32</f>
        <v>2.7820312978410962</v>
      </c>
      <c r="H32" s="177">
        <f>'[6]Final prices'!H32*1000/'[6]Final income'!H32</f>
        <v>2.9488291042720323</v>
      </c>
      <c r="I32" s="177">
        <f>'[6]Final prices'!I32*1000/'[6]Final income'!I32</f>
        <v>2.9842516246698176</v>
      </c>
      <c r="J32" s="177">
        <f>'[6]Final prices'!J32*1000/'[6]Final income'!J32</f>
        <v>3.0155058165553501</v>
      </c>
      <c r="K32" s="177">
        <f>'[6]Final prices'!K32*1000/'[6]Final income'!K32</f>
        <v>3.2976889422752129</v>
      </c>
      <c r="L32" s="177">
        <f>'[6]Final prices'!L32*1000/'[6]Final income'!L32</f>
        <v>3.7589722631376459</v>
      </c>
      <c r="M32" s="177">
        <f>'[6]Final prices'!M32*1000/'[6]Final income'!M32</f>
        <v>4.1256741433493671</v>
      </c>
      <c r="N32" s="177">
        <f>'[6]Final prices'!N32*1000/'[6]Final income'!N32</f>
        <v>4.2913217291606882</v>
      </c>
      <c r="O32" s="177">
        <f>'[6]Final prices'!O32*1000/'[6]Final income'!O32</f>
        <v>4.2577210491623383</v>
      </c>
      <c r="P32" s="177">
        <f>'[6]Final prices'!P32*1000/'[6]Final income'!P32</f>
        <v>4.4610214459099291</v>
      </c>
      <c r="Q32" s="177">
        <f>'[6]Final prices'!Q32*1000/'[6]Final income'!Q32</f>
        <v>4.4275510897906694</v>
      </c>
      <c r="R32" s="177">
        <f>'[6]Final prices'!R32*1000/'[6]Final income'!R32</f>
        <v>4.4117656600221462</v>
      </c>
      <c r="S32" s="177">
        <f>'[6]Final prices'!S32*1000/'[6]Final income'!S32</f>
        <v>4.1064400235120964</v>
      </c>
      <c r="T32" s="177">
        <f>'[6]Final prices'!T32*1000/'[6]Final income'!T32</f>
        <v>3.5847730385165084</v>
      </c>
      <c r="U32" s="177">
        <f>'[6]Final prices'!U32*1000/'[6]Final income'!U32</f>
        <v>3.6535050768604509</v>
      </c>
      <c r="V32" s="177">
        <f>'[6]Final prices'!V32*1000/'[6]Final income'!V32</f>
        <v>3.9779438917831191</v>
      </c>
      <c r="W32" s="177">
        <f>'[6]Final prices'!W32*1000/'[6]Final income'!W32</f>
        <v>3.8480263701057655</v>
      </c>
    </row>
    <row r="33" spans="1:23">
      <c r="A33" s="65" t="s">
        <v>133</v>
      </c>
      <c r="B33" s="177">
        <f>'[6]Final prices'!B33*1000/'[6]Final income'!B33</f>
        <v>1.886981918038108</v>
      </c>
      <c r="C33" s="177">
        <f>'[6]Final prices'!C33*1000/'[6]Final income'!C33</f>
        <v>2.0127371330087365</v>
      </c>
      <c r="D33" s="177">
        <f>'[6]Final prices'!D33*1000/'[6]Final income'!D33</f>
        <v>2.1499283188982985</v>
      </c>
      <c r="E33" s="177">
        <f>'[6]Final prices'!E33*1000/'[6]Final income'!E33</f>
        <v>2.3127667417512416</v>
      </c>
      <c r="F33" s="177">
        <f>'[6]Final prices'!F33*1000/'[6]Final income'!F33</f>
        <v>2.0912783241236128</v>
      </c>
      <c r="G33" s="177">
        <f>'[6]Final prices'!G33*1000/'[6]Final income'!G33</f>
        <v>2.0766011931362063</v>
      </c>
      <c r="H33" s="177">
        <f>'[6]Final prices'!H33*1000/'[6]Final income'!H33</f>
        <v>2.3740727632161764</v>
      </c>
      <c r="I33" s="177">
        <f>'[6]Final prices'!I33*1000/'[6]Final income'!I33</f>
        <v>2.5066465510501006</v>
      </c>
      <c r="J33" s="177">
        <f>'[6]Final prices'!J33*1000/'[6]Final income'!J33</f>
        <v>2.476510726557366</v>
      </c>
      <c r="K33" s="177">
        <f>'[6]Final prices'!K33*1000/'[6]Final income'!K33</f>
        <v>2.3708588357536038</v>
      </c>
      <c r="L33" s="177">
        <f>'[6]Final prices'!L33*1000/'[6]Final income'!L33</f>
        <v>2.5140109474222698</v>
      </c>
      <c r="M33" s="177">
        <f>'[6]Final prices'!M33*1000/'[6]Final income'!M33</f>
        <v>2.6962672456054344</v>
      </c>
      <c r="N33" s="177">
        <f>'[6]Final prices'!N33*1000/'[6]Final income'!N33</f>
        <v>2.7834719668483716</v>
      </c>
      <c r="O33" s="177">
        <f>'[6]Final prices'!O33*1000/'[6]Final income'!O33</f>
        <v>2.7450524209280474</v>
      </c>
      <c r="P33" s="177">
        <f>'[6]Final prices'!P33*1000/'[6]Final income'!P33</f>
        <v>2.8347713778392403</v>
      </c>
      <c r="Q33" s="177">
        <f>'[6]Final prices'!Q33*1000/'[6]Final income'!Q33</f>
        <v>2.779676823574885</v>
      </c>
      <c r="R33" s="177">
        <f>'[6]Final prices'!R33*1000/'[6]Final income'!R33</f>
        <v>2.7222212118982076</v>
      </c>
      <c r="S33" s="177">
        <f>'[6]Final prices'!S33*1000/'[6]Final income'!S33</f>
        <v>2.6713373102400402</v>
      </c>
      <c r="T33" s="177">
        <f>'[6]Final prices'!T33*1000/'[6]Final income'!T33</f>
        <v>2.6359645544054486</v>
      </c>
      <c r="U33" s="177">
        <f>'[6]Final prices'!U33*1000/'[6]Final income'!U33</f>
        <v>2.5979110601758184</v>
      </c>
      <c r="V33" s="177">
        <f>'[6]Final prices'!V33*1000/'[6]Final income'!V33</f>
        <v>2.6480000975147826</v>
      </c>
      <c r="W33" s="177">
        <f>'[6]Final prices'!W33*1000/'[6]Final income'!W33</f>
        <v>2.5575328592977504</v>
      </c>
    </row>
    <row r="34" spans="1:23">
      <c r="A34" s="65" t="s">
        <v>134</v>
      </c>
      <c r="B34" s="177">
        <f>'[6]Final prices'!B34*1000/'[6]Final income'!B34</f>
        <v>2.2099892795189411</v>
      </c>
      <c r="C34" s="177">
        <f>'[6]Final prices'!C34*1000/'[6]Final income'!C34</f>
        <v>2.1887085286771564</v>
      </c>
      <c r="D34" s="177">
        <f>'[6]Final prices'!D34*1000/'[6]Final income'!D34</f>
        <v>2.2115136722113484</v>
      </c>
      <c r="E34" s="177">
        <f>'[6]Final prices'!E34*1000/'[6]Final income'!E34</f>
        <v>2.3375051975987233</v>
      </c>
      <c r="F34" s="177">
        <f>'[6]Final prices'!F34*1000/'[6]Final income'!F34</f>
        <v>2.1762857151676052</v>
      </c>
      <c r="G34" s="177">
        <f>'[6]Final prices'!G34*1000/'[6]Final income'!G34</f>
        <v>2.3778825076659289</v>
      </c>
      <c r="H34" s="177">
        <f>'[6]Final prices'!H34*1000/'[6]Final income'!H34</f>
        <v>2.5233344586138418</v>
      </c>
      <c r="I34" s="177">
        <f>'[6]Final prices'!I34*1000/'[6]Final income'!I34</f>
        <v>2.7624179064189258</v>
      </c>
      <c r="J34" s="177">
        <f>'[6]Final prices'!J34*1000/'[6]Final income'!J34</f>
        <v>2.8532294176122921</v>
      </c>
      <c r="K34" s="177">
        <f>'[6]Final prices'!K34*1000/'[6]Final income'!K34</f>
        <v>2.8062841475836238</v>
      </c>
      <c r="L34" s="177">
        <f>'[6]Final prices'!L34*1000/'[6]Final income'!L34</f>
        <v>3.04878260312787</v>
      </c>
      <c r="M34" s="177">
        <f>'[6]Final prices'!M34*1000/'[6]Final income'!M34</f>
        <v>3.2617625889574016</v>
      </c>
      <c r="N34" s="177">
        <f>'[6]Final prices'!N34*1000/'[6]Final income'!N34</f>
        <v>3.3438859552661184</v>
      </c>
      <c r="O34" s="177">
        <f>'[6]Final prices'!O34*1000/'[6]Final income'!O34</f>
        <v>3.3390238551347977</v>
      </c>
      <c r="P34" s="177">
        <f>'[6]Final prices'!P34*1000/'[6]Final income'!P34</f>
        <v>3.2402141069439416</v>
      </c>
      <c r="Q34" s="177">
        <f>'[6]Final prices'!Q34*1000/'[6]Final income'!Q34</f>
        <v>3.1879902152445911</v>
      </c>
      <c r="R34" s="177">
        <f>'[6]Final prices'!R34*1000/'[6]Final income'!R34</f>
        <v>2.9058293651339984</v>
      </c>
      <c r="S34" s="177">
        <f>'[6]Final prices'!S34*1000/'[6]Final income'!S34</f>
        <v>2.6428037814314234</v>
      </c>
      <c r="T34" s="177" t="s">
        <v>25</v>
      </c>
      <c r="U34" s="177" t="s">
        <v>25</v>
      </c>
      <c r="V34" s="177" t="s">
        <v>25</v>
      </c>
      <c r="W34" s="177">
        <f>'[6]Final prices'!W34*1000/'[6]Final income'!W34</f>
        <v>1.0659305710304636</v>
      </c>
    </row>
    <row r="35" spans="1:23">
      <c r="A35" s="65" t="s">
        <v>135</v>
      </c>
      <c r="B35" s="177">
        <f>'[6]Final prices'!B35*1000/'[6]Final income'!B35</f>
        <v>2.625720698732446</v>
      </c>
      <c r="C35" s="177">
        <f>'[6]Final prices'!C35*1000/'[6]Final income'!C35</f>
        <v>2.8021224045141953</v>
      </c>
      <c r="D35" s="177">
        <f>'[6]Final prices'!D35*1000/'[6]Final income'!D35</f>
        <v>2.8724097856193982</v>
      </c>
      <c r="E35" s="177">
        <f>'[6]Final prices'!E35*1000/'[6]Final income'!E35</f>
        <v>2.9949027944584916</v>
      </c>
      <c r="F35" s="177">
        <f>'[6]Final prices'!F35*1000/'[6]Final income'!F35</f>
        <v>2.9580150449362286</v>
      </c>
      <c r="G35" s="177">
        <f>'[6]Final prices'!G35*1000/'[6]Final income'!G35</f>
        <v>2.7386567887577296</v>
      </c>
      <c r="H35" s="177">
        <f>'[6]Final prices'!H35*1000/'[6]Final income'!H35</f>
        <v>2.8091214325334226</v>
      </c>
      <c r="I35" s="177">
        <f>'[6]Final prices'!I35*1000/'[6]Final income'!I35</f>
        <v>2.6458000967230557</v>
      </c>
      <c r="J35" s="177">
        <f>'[6]Final prices'!J35*1000/'[6]Final income'!J35</f>
        <v>2.6684146548783483</v>
      </c>
      <c r="K35" s="177">
        <f>'[6]Final prices'!K35*1000/'[6]Final income'!K35</f>
        <v>2.5119963930308202</v>
      </c>
      <c r="L35" s="177">
        <f>'[6]Final prices'!L35*1000/'[6]Final income'!L35</f>
        <v>2.5494691230553195</v>
      </c>
      <c r="M35" s="177">
        <f>'[6]Final prices'!M35*1000/'[6]Final income'!M35</f>
        <v>2.7189740543037604</v>
      </c>
      <c r="N35" s="177">
        <f>'[6]Final prices'!N35*1000/'[6]Final income'!N35</f>
        <v>2.7617313384502369</v>
      </c>
      <c r="O35" s="177">
        <f>'[6]Final prices'!O35*1000/'[6]Final income'!O35</f>
        <v>2.9082960211811795</v>
      </c>
      <c r="P35" s="177">
        <f>'[6]Final prices'!P35*1000/'[6]Final income'!P35</f>
        <v>2.8519959935147581</v>
      </c>
      <c r="Q35" s="177">
        <f>'[6]Final prices'!Q35*1000/'[6]Final income'!Q35</f>
        <v>3.3646331026510072</v>
      </c>
      <c r="R35" s="177">
        <f>'[6]Final prices'!R35*1000/'[6]Final income'!R35</f>
        <v>3.713495585337343</v>
      </c>
      <c r="S35" s="177">
        <f>'[6]Final prices'!S35*1000/'[6]Final income'!S35</f>
        <v>3.7164490796645628</v>
      </c>
      <c r="T35" s="177">
        <f>'[6]Final prices'!T35*1000/'[6]Final income'!T35</f>
        <v>3.7209886383029036</v>
      </c>
      <c r="U35" s="177">
        <f>'[6]Final prices'!U35*1000/'[6]Final income'!U35</f>
        <v>3.7130416113306914</v>
      </c>
      <c r="V35" s="177">
        <f>'[6]Final prices'!V35*1000/'[6]Final income'!V35</f>
        <v>3.7438043929523546</v>
      </c>
      <c r="W35" s="177">
        <f>'[6]Final prices'!W35*1000/'[6]Final income'!W35</f>
        <v>3.6231173175161393</v>
      </c>
    </row>
    <row r="36" spans="1:23">
      <c r="A36" s="65" t="s">
        <v>136</v>
      </c>
      <c r="B36" s="177">
        <f>'[6]Final prices'!B36*1000/'[6]Final income'!B36</f>
        <v>2.1701550769935714</v>
      </c>
      <c r="C36" s="177">
        <f>'[6]Final prices'!C36*1000/'[6]Final income'!C36</f>
        <v>2.1072570082144511</v>
      </c>
      <c r="D36" s="177">
        <f>'[6]Final prices'!D36*1000/'[6]Final income'!D36</f>
        <v>2.1774678250249138</v>
      </c>
      <c r="E36" s="177">
        <f>'[6]Final prices'!E36*1000/'[6]Final income'!E36</f>
        <v>2.2627808514767964</v>
      </c>
      <c r="F36" s="177">
        <f>'[6]Final prices'!F36*1000/'[6]Final income'!F36</f>
        <v>2.1226631552862893</v>
      </c>
      <c r="G36" s="177">
        <f>'[6]Final prices'!G36*1000/'[6]Final income'!G36</f>
        <v>2.169198119329375</v>
      </c>
      <c r="H36" s="177">
        <f>'[6]Final prices'!H36*1000/'[6]Final income'!H36</f>
        <v>2.185985123055262</v>
      </c>
      <c r="I36" s="177">
        <f>'[6]Final prices'!I36*1000/'[6]Final income'!I36</f>
        <v>2.3857038013753336</v>
      </c>
      <c r="J36" s="177">
        <f>'[6]Final prices'!J36*1000/'[6]Final income'!J36</f>
        <v>2.3862769321688417</v>
      </c>
      <c r="K36" s="177">
        <f>'[6]Final prices'!K36*1000/'[6]Final income'!K36</f>
        <v>2.3524418553637094</v>
      </c>
      <c r="L36" s="177">
        <f>'[6]Final prices'!L36*1000/'[6]Final income'!L36</f>
        <v>2.5381889854229778</v>
      </c>
      <c r="M36" s="177">
        <f>'[6]Final prices'!M36*1000/'[6]Final income'!M36</f>
        <v>2.7082107955592702</v>
      </c>
      <c r="N36" s="177">
        <f>'[6]Final prices'!N36*1000/'[6]Final income'!N36</f>
        <v>2.812424884467859</v>
      </c>
      <c r="O36" s="177">
        <f>'[6]Final prices'!O36*1000/'[6]Final income'!O36</f>
        <v>2.8523920068670461</v>
      </c>
      <c r="P36" s="177">
        <f>'[6]Final prices'!P36*1000/'[6]Final income'!P36</f>
        <v>2.8835032578507547</v>
      </c>
      <c r="Q36" s="177">
        <f>'[6]Final prices'!Q36*1000/'[6]Final income'!Q36</f>
        <v>2.9562652098557849</v>
      </c>
      <c r="R36" s="177">
        <f>'[6]Final prices'!R36*1000/'[6]Final income'!R36</f>
        <v>2.8480856398268735</v>
      </c>
      <c r="S36" s="177">
        <f>'[6]Final prices'!S36*1000/'[6]Final income'!S36</f>
        <v>2.6972038079760643</v>
      </c>
      <c r="T36" s="177">
        <f>'[6]Final prices'!T36*1000/'[6]Final income'!T36</f>
        <v>2.0626389277835995</v>
      </c>
      <c r="U36" s="177">
        <f>'[6]Final prices'!U36*1000/'[6]Final income'!U36</f>
        <v>1.859627480930099</v>
      </c>
      <c r="V36" s="177">
        <f>'[6]Final prices'!V36*1000/'[6]Final income'!V36</f>
        <v>1.951127178221457</v>
      </c>
      <c r="W36" s="177">
        <f>'[6]Final prices'!W36*1000/'[6]Final income'!W36</f>
        <v>2.0246613091718819</v>
      </c>
    </row>
    <row r="37" spans="1:23">
      <c r="A37" s="65" t="s">
        <v>137</v>
      </c>
      <c r="B37" s="177">
        <f>'[6]Final prices'!B37*1000/'[6]Final income'!B37</f>
        <v>2.9873719899497031</v>
      </c>
      <c r="C37" s="177">
        <f>'[6]Final prices'!C37*1000/'[6]Final income'!C37</f>
        <v>2.8958389962885267</v>
      </c>
      <c r="D37" s="177">
        <f>'[6]Final prices'!D37*1000/'[6]Final income'!D37</f>
        <v>2.8941246118362818</v>
      </c>
      <c r="E37" s="177">
        <f>'[6]Final prices'!E37*1000/'[6]Final income'!E37</f>
        <v>2.9797350987820121</v>
      </c>
      <c r="F37" s="177">
        <f>'[6]Final prices'!F37*1000/'[6]Final income'!F37</f>
        <v>2.9291603330264429</v>
      </c>
      <c r="G37" s="177">
        <f>'[6]Final prices'!G37*1000/'[6]Final income'!G37</f>
        <v>2.9189246975526579</v>
      </c>
      <c r="H37" s="177">
        <f>'[6]Final prices'!H37*1000/'[6]Final income'!H37</f>
        <v>2.8931521774641076</v>
      </c>
      <c r="I37" s="177">
        <f>'[6]Final prices'!I37*1000/'[6]Final income'!I37</f>
        <v>2.9808349621649062</v>
      </c>
      <c r="J37" s="177">
        <f>'[6]Final prices'!J37*1000/'[6]Final income'!J37</f>
        <v>3.1343482364776336</v>
      </c>
      <c r="K37" s="177">
        <f>'[6]Final prices'!K37*1000/'[6]Final income'!K37</f>
        <v>3.0845061901612509</v>
      </c>
      <c r="L37" s="177">
        <f>'[6]Final prices'!L37*1000/'[6]Final income'!L37</f>
        <v>3.1947051947240444</v>
      </c>
      <c r="M37" s="177">
        <f>'[6]Final prices'!M37*1000/'[6]Final income'!M37</f>
        <v>3.3577685952707843</v>
      </c>
      <c r="N37" s="177">
        <f>'[6]Final prices'!N37*1000/'[6]Final income'!N37</f>
        <v>3.4942036235305665</v>
      </c>
      <c r="O37" s="177">
        <f>'[6]Final prices'!O37*1000/'[6]Final income'!O37</f>
        <v>3.5483916242941107</v>
      </c>
      <c r="P37" s="177">
        <f>'[6]Final prices'!P37*1000/'[6]Final income'!P37</f>
        <v>3.5287928833151354</v>
      </c>
      <c r="Q37" s="177">
        <f>'[6]Final prices'!Q37*1000/'[6]Final income'!Q37</f>
        <v>3.6179557587399072</v>
      </c>
      <c r="R37" s="177">
        <f>'[6]Final prices'!R37*1000/'[6]Final income'!R37</f>
        <v>3.5465356529442724</v>
      </c>
      <c r="S37" s="177">
        <f>'[6]Final prices'!S37*1000/'[6]Final income'!S37</f>
        <v>3.4870365973208197</v>
      </c>
      <c r="T37" s="177">
        <f>'[6]Final prices'!T37*1000/'[6]Final income'!T37</f>
        <v>3.1828750830570285</v>
      </c>
      <c r="U37" s="177">
        <f>'[6]Final prices'!U37*1000/'[6]Final income'!U37</f>
        <v>3.1589908245443081</v>
      </c>
      <c r="V37" s="177">
        <f>'[6]Final prices'!V37*1000/'[6]Final income'!V37</f>
        <v>3.130213091240694</v>
      </c>
      <c r="W37" s="177">
        <f>'[6]Final prices'!W37*1000/'[6]Final income'!W37</f>
        <v>2.9045081689144303</v>
      </c>
    </row>
    <row r="38" spans="1:23">
      <c r="A38" s="65" t="s">
        <v>138</v>
      </c>
      <c r="B38" s="177">
        <f>'[6]Final prices'!B38*1000/'[6]Final income'!B38</f>
        <v>2.3061655131696557</v>
      </c>
      <c r="C38" s="177">
        <f>'[6]Final prices'!C38*1000/'[6]Final income'!C38</f>
        <v>2.554039035593572</v>
      </c>
      <c r="D38" s="177">
        <f>'[6]Final prices'!D38*1000/'[6]Final income'!D38</f>
        <v>2.7391095932064733</v>
      </c>
      <c r="E38" s="177">
        <f>'[6]Final prices'!E38*1000/'[6]Final income'!E38</f>
        <v>2.992853845970092</v>
      </c>
      <c r="F38" s="177">
        <f>'[6]Final prices'!F38*1000/'[6]Final income'!F38</f>
        <v>2.7632693906225878</v>
      </c>
      <c r="G38" s="177">
        <f>'[6]Final prices'!G38*1000/'[6]Final income'!G38</f>
        <v>2.972390497543723</v>
      </c>
      <c r="H38" s="177">
        <f>'[6]Final prices'!H38*1000/'[6]Final income'!H38</f>
        <v>2.9641167731016473</v>
      </c>
      <c r="I38" s="177">
        <f>'[6]Final prices'!I38*1000/'[6]Final income'!I38</f>
        <v>3.1617010551535496</v>
      </c>
      <c r="J38" s="177">
        <f>'[6]Final prices'!J38*1000/'[6]Final income'!J38</f>
        <v>3.2601624650331695</v>
      </c>
      <c r="K38" s="177">
        <f>'[6]Final prices'!K38*1000/'[6]Final income'!K38</f>
        <v>3.0870164519842898</v>
      </c>
      <c r="L38" s="177">
        <f>'[6]Final prices'!L38*1000/'[6]Final income'!L38</f>
        <v>3.1714921809849099</v>
      </c>
      <c r="M38" s="177">
        <f>'[6]Final prices'!M38*1000/'[6]Final income'!M38</f>
        <v>3.2517532077048243</v>
      </c>
      <c r="N38" s="177">
        <f>'[6]Final prices'!N38*1000/'[6]Final income'!N38</f>
        <v>3.2957756859090019</v>
      </c>
      <c r="O38" s="177">
        <f>'[6]Final prices'!O38*1000/'[6]Final income'!O38</f>
        <v>3.3468467203531147</v>
      </c>
      <c r="P38" s="177">
        <f>'[6]Final prices'!P38*1000/'[6]Final income'!P38</f>
        <v>3.2358666574321462</v>
      </c>
      <c r="Q38" s="177">
        <f>'[6]Final prices'!Q38*1000/'[6]Final income'!Q38</f>
        <v>3.5197190458158905</v>
      </c>
      <c r="R38" s="177">
        <f>'[6]Final prices'!R38*1000/'[6]Final income'!R38</f>
        <v>3.6060899295398938</v>
      </c>
      <c r="S38" s="177">
        <f>'[6]Final prices'!S38*1000/'[6]Final income'!S38</f>
        <v>3.4622865497095505</v>
      </c>
      <c r="T38" s="177">
        <f>'[6]Final prices'!T38*1000/'[6]Final income'!T38</f>
        <v>3.4029770800190096</v>
      </c>
      <c r="U38" s="177">
        <f>'[6]Final prices'!U38*1000/'[6]Final income'!U38</f>
        <v>3.2380447031512021</v>
      </c>
      <c r="V38" s="177">
        <f>'[6]Final prices'!V38*1000/'[6]Final income'!V38</f>
        <v>3.353392921394136</v>
      </c>
      <c r="W38" s="177">
        <f>'[6]Final prices'!W38*1000/'[6]Final income'!W38</f>
        <v>3.2969126936687685</v>
      </c>
    </row>
    <row r="39" spans="1:23">
      <c r="A39" s="65" t="s">
        <v>139</v>
      </c>
      <c r="B39" s="177">
        <f>'[6]Final prices'!B39*1000/'[6]Final income'!B39</f>
        <v>4.1015069658110628</v>
      </c>
      <c r="C39" s="177">
        <f>'[6]Final prices'!C39*1000/'[6]Final income'!C39</f>
        <v>3.5342522669803702</v>
      </c>
      <c r="D39" s="177">
        <f>'[6]Final prices'!D39*1000/'[6]Final income'!D39</f>
        <v>3.4828810714753065</v>
      </c>
      <c r="E39" s="177">
        <f>'[6]Final prices'!E39*1000/'[6]Final income'!E39</f>
        <v>3.4288906915539994</v>
      </c>
      <c r="F39" s="177">
        <f>'[6]Final prices'!F39*1000/'[6]Final income'!F39</f>
        <v>3.2264555978005784</v>
      </c>
      <c r="G39" s="177">
        <f>'[6]Final prices'!G39*1000/'[6]Final income'!G39</f>
        <v>3.2753451413572767</v>
      </c>
      <c r="H39" s="177">
        <f>'[6]Final prices'!H39*1000/'[6]Final income'!H39</f>
        <v>3.2515874291707996</v>
      </c>
      <c r="I39" s="177">
        <f>'[6]Final prices'!I39*1000/'[6]Final income'!I39</f>
        <v>3.0592156897538518</v>
      </c>
      <c r="J39" s="177">
        <f>'[6]Final prices'!J39*1000/'[6]Final income'!J39</f>
        <v>2.9599994719670502</v>
      </c>
      <c r="K39" s="177">
        <f>'[6]Final prices'!K39*1000/'[6]Final income'!K39</f>
        <v>2.9133318363338243</v>
      </c>
      <c r="L39" s="177">
        <f>'[6]Final prices'!L39*1000/'[6]Final income'!L39</f>
        <v>3.0543689921549326</v>
      </c>
      <c r="M39" s="177">
        <f>'[6]Final prices'!M39*1000/'[6]Final income'!M39</f>
        <v>3.0863999656200356</v>
      </c>
      <c r="N39" s="177">
        <f>'[6]Final prices'!N39*1000/'[6]Final income'!N39</f>
        <v>3.273581477194071</v>
      </c>
      <c r="O39" s="177">
        <f>'[6]Final prices'!O39*1000/'[6]Final income'!O39</f>
        <v>3.6885609641537314</v>
      </c>
      <c r="P39" s="177">
        <f>'[6]Final prices'!P39*1000/'[6]Final income'!P39</f>
        <v>3.8029916801709063</v>
      </c>
      <c r="Q39" s="177">
        <f>'[6]Final prices'!Q39*1000/'[6]Final income'!Q39</f>
        <v>4.1220071340761022</v>
      </c>
      <c r="R39" s="177">
        <f>'[6]Final prices'!R39*1000/'[6]Final income'!R39</f>
        <v>4.0760780823514562</v>
      </c>
      <c r="S39" s="177">
        <f>'[6]Final prices'!S39*1000/'[6]Final income'!S39</f>
        <v>4.0532664104901972</v>
      </c>
      <c r="T39" s="177">
        <f>'[6]Final prices'!T39*1000/'[6]Final income'!T39</f>
        <v>3.6908839646559426</v>
      </c>
      <c r="U39" s="177">
        <f>'[6]Final prices'!U39*1000/'[6]Final income'!U39</f>
        <v>3.5136289081882603</v>
      </c>
      <c r="V39" s="177">
        <f>'[6]Final prices'!V39*1000/'[6]Final income'!V39</f>
        <v>3.7406585278864326</v>
      </c>
      <c r="W39" s="177">
        <f>'[6]Final prices'!W39*1000/'[6]Final income'!W39</f>
        <v>3.5880314137527667</v>
      </c>
    </row>
    <row r="40" spans="1:23">
      <c r="A40" s="65" t="s">
        <v>140</v>
      </c>
      <c r="B40" s="177">
        <f>'[6]Final prices'!B40*1000/'[6]Final income'!B40</f>
        <v>8.0307960018677846</v>
      </c>
      <c r="C40" s="177">
        <f>'[6]Final prices'!C40*1000/'[6]Final income'!C40</f>
        <v>8.0261975253812015</v>
      </c>
      <c r="D40" s="177">
        <f>'[6]Final prices'!D40*1000/'[6]Final income'!D40</f>
        <v>7.1281235407730295</v>
      </c>
      <c r="E40" s="177">
        <f>'[6]Final prices'!E40*1000/'[6]Final income'!E40</f>
        <v>7.2102668918218882</v>
      </c>
      <c r="F40" s="177">
        <f>'[6]Final prices'!F40*1000/'[6]Final income'!F40</f>
        <v>7.2909477525184307</v>
      </c>
      <c r="G40" s="177">
        <f>'[6]Final prices'!G40*1000/'[6]Final income'!G40</f>
        <v>6.8625176582175031</v>
      </c>
      <c r="H40" s="177">
        <f>'[6]Final prices'!H40*1000/'[6]Final income'!H40</f>
        <v>6.7036596931736998</v>
      </c>
      <c r="I40" s="177">
        <f>'[6]Final prices'!I40*1000/'[6]Final income'!I40</f>
        <v>6.2452139783482679</v>
      </c>
      <c r="J40" s="177">
        <f>'[6]Final prices'!J40*1000/'[6]Final income'!J40</f>
        <v>5.9914318580702286</v>
      </c>
      <c r="K40" s="177">
        <f>'[6]Final prices'!K40*1000/'[6]Final income'!K40</f>
        <v>5.6270948377465375</v>
      </c>
      <c r="L40" s="177">
        <f>'[6]Final prices'!L40*1000/'[6]Final income'!L40</f>
        <v>5.6763411464864495</v>
      </c>
      <c r="M40" s="177">
        <f>'[6]Final prices'!M40*1000/'[6]Final income'!M40</f>
        <v>5.7630579780678248</v>
      </c>
      <c r="N40" s="177">
        <f>'[6]Final prices'!N40*1000/'[6]Final income'!N40</f>
        <v>6.3533620319058794</v>
      </c>
      <c r="O40" s="177">
        <f>'[6]Final prices'!O40*1000/'[6]Final income'!O40</f>
        <v>7.2135004192178211</v>
      </c>
      <c r="P40" s="177">
        <f>'[6]Final prices'!P40*1000/'[6]Final income'!P40</f>
        <v>8.2810588835772485</v>
      </c>
      <c r="Q40" s="177">
        <f>'[6]Final prices'!Q40*1000/'[6]Final income'!Q40</f>
        <v>9.7816786437550132</v>
      </c>
      <c r="R40" s="177">
        <f>'[6]Final prices'!R40*1000/'[6]Final income'!R40</f>
        <v>10.025180707860505</v>
      </c>
      <c r="S40" s="177">
        <f>'[6]Final prices'!S40*1000/'[6]Final income'!S40</f>
        <v>9.8379473128007469</v>
      </c>
      <c r="T40" s="177">
        <f>'[6]Final prices'!T40*1000/'[6]Final income'!T40</f>
        <v>8.9879799733460217</v>
      </c>
      <c r="U40" s="177">
        <f>'[6]Final prices'!U40*1000/'[6]Final income'!U40</f>
        <v>8.9783960824781239</v>
      </c>
      <c r="V40" s="177">
        <f>'[6]Final prices'!V40*1000/'[6]Final income'!V40</f>
        <v>9.3048750298670058</v>
      </c>
      <c r="W40" s="177">
        <f>'[6]Final prices'!W40*1000/'[6]Final income'!W40</f>
        <v>8.7934300788789983</v>
      </c>
    </row>
    <row r="41" spans="1:23">
      <c r="A41" s="65" t="s">
        <v>141</v>
      </c>
      <c r="B41" s="177">
        <f>'[6]Final prices'!B41*1000/'[6]Final income'!B41</f>
        <v>2.0891970754045501</v>
      </c>
      <c r="C41" s="177">
        <f>'[6]Final prices'!C41*1000/'[6]Final income'!C41</f>
        <v>2.2091419755607236</v>
      </c>
      <c r="D41" s="177">
        <f>'[6]Final prices'!D41*1000/'[6]Final income'!D41</f>
        <v>2.3815419256534738</v>
      </c>
      <c r="E41" s="177">
        <f>'[6]Final prices'!E41*1000/'[6]Final income'!E41</f>
        <v>2.3261871581650544</v>
      </c>
      <c r="F41" s="177">
        <f>'[6]Final prices'!F41*1000/'[6]Final income'!F41</f>
        <v>2.1628574567012446</v>
      </c>
      <c r="G41" s="177">
        <f>'[6]Final prices'!G41*1000/'[6]Final income'!G41</f>
        <v>2.0420466858024113</v>
      </c>
      <c r="H41" s="177">
        <f>'[6]Final prices'!H41*1000/'[6]Final income'!H41</f>
        <v>2.1206731183539782</v>
      </c>
      <c r="I41" s="177">
        <f>'[6]Final prices'!I41*1000/'[6]Final income'!I41</f>
        <v>2.1559658911569493</v>
      </c>
      <c r="J41" s="177">
        <f>'[6]Final prices'!J41*1000/'[6]Final income'!J41</f>
        <v>2.2772141343642693</v>
      </c>
      <c r="K41" s="177">
        <f>'[6]Final prices'!K41*1000/'[6]Final income'!K41</f>
        <v>2.3487115505983063</v>
      </c>
      <c r="L41" s="177">
        <f>'[6]Final prices'!L41*1000/'[6]Final income'!L41</f>
        <v>2.5714943982322089</v>
      </c>
      <c r="M41" s="177">
        <f>'[6]Final prices'!M41*1000/'[6]Final income'!M41</f>
        <v>2.7157551122236701</v>
      </c>
      <c r="N41" s="177">
        <f>'[6]Final prices'!N41*1000/'[6]Final income'!N41</f>
        <v>2.8721572832838906</v>
      </c>
      <c r="O41" s="177">
        <f>'[6]Final prices'!O41*1000/'[6]Final income'!O41</f>
        <v>2.96244837041746</v>
      </c>
      <c r="P41" s="177">
        <f>'[6]Final prices'!P41*1000/'[6]Final income'!P41</f>
        <v>2.9354976806215944</v>
      </c>
      <c r="Q41" s="177">
        <f>'[6]Final prices'!Q41*1000/'[6]Final income'!Q41</f>
        <v>3.0731584414327067</v>
      </c>
      <c r="R41" s="177">
        <f>'[6]Final prices'!R41*1000/'[6]Final income'!R41</f>
        <v>2.9886082962913028</v>
      </c>
      <c r="S41" s="177">
        <f>'[6]Final prices'!S41*1000/'[6]Final income'!S41</f>
        <v>2.8501785975268126</v>
      </c>
      <c r="T41" s="177">
        <f>'[6]Final prices'!T41*1000/'[6]Final income'!T41</f>
        <v>2.6696325470150981</v>
      </c>
      <c r="U41" s="177">
        <f>'[6]Final prices'!U41*1000/'[6]Final income'!U41</f>
        <v>2.7680444010934764</v>
      </c>
      <c r="V41" s="177">
        <f>'[6]Final prices'!V41*1000/'[6]Final income'!V41</f>
        <v>2.7985317717809366</v>
      </c>
      <c r="W41" s="177">
        <f>'[6]Final prices'!W41*1000/'[6]Final income'!W41</f>
        <v>2.701947225543293</v>
      </c>
    </row>
    <row r="42" spans="1:23">
      <c r="A42" s="65" t="s">
        <v>142</v>
      </c>
      <c r="B42" s="177">
        <f>'[6]Final prices'!B42*1000/'[6]Final income'!B42</f>
        <v>2.2307268508695337</v>
      </c>
      <c r="C42" s="177">
        <f>'[6]Final prices'!C42*1000/'[6]Final income'!C42</f>
        <v>2.3654672299360824</v>
      </c>
      <c r="D42" s="177">
        <f>'[6]Final prices'!D42*1000/'[6]Final income'!D42</f>
        <v>2.3911844291579594</v>
      </c>
      <c r="E42" s="177">
        <f>'[6]Final prices'!E42*1000/'[6]Final income'!E42</f>
        <v>2.4179404976372236</v>
      </c>
      <c r="F42" s="177">
        <f>'[6]Final prices'!F42*1000/'[6]Final income'!F42</f>
        <v>2.7076695956632713</v>
      </c>
      <c r="G42" s="177">
        <f>'[6]Final prices'!G42*1000/'[6]Final income'!G42</f>
        <v>2.3768220868038741</v>
      </c>
      <c r="H42" s="177">
        <f>'[6]Final prices'!H42*1000/'[6]Final income'!H42</f>
        <v>2.3642217163406025</v>
      </c>
      <c r="I42" s="177">
        <f>'[6]Final prices'!I42*1000/'[6]Final income'!I42</f>
        <v>2.28857855521386</v>
      </c>
      <c r="J42" s="177">
        <f>'[6]Final prices'!J42*1000/'[6]Final income'!J42</f>
        <v>2.3572779610263921</v>
      </c>
      <c r="K42" s="177">
        <f>'[6]Final prices'!K42*1000/'[6]Final income'!K42</f>
        <v>2.3676776530692627</v>
      </c>
      <c r="L42" s="177">
        <f>'[6]Final prices'!L42*1000/'[6]Final income'!L42</f>
        <v>2.3817099900353673</v>
      </c>
      <c r="M42" s="177">
        <f>'[6]Final prices'!M42*1000/'[6]Final income'!M42</f>
        <v>2.4568803358271509</v>
      </c>
      <c r="N42" s="177">
        <f>'[6]Final prices'!N42*1000/'[6]Final income'!N42</f>
        <v>2.4352716888274042</v>
      </c>
      <c r="O42" s="177">
        <f>'[6]Final prices'!O42*1000/'[6]Final income'!O42</f>
        <v>2.4746080115909073</v>
      </c>
      <c r="P42" s="177">
        <f>'[6]Final prices'!P42*1000/'[6]Final income'!P42</f>
        <v>2.4547424666969144</v>
      </c>
      <c r="Q42" s="177">
        <f>'[6]Final prices'!Q42*1000/'[6]Final income'!Q42</f>
        <v>2.4177151904704379</v>
      </c>
      <c r="R42" s="177">
        <f>'[6]Final prices'!R42*1000/'[6]Final income'!R42</f>
        <v>2.2848129277695226</v>
      </c>
      <c r="S42" s="177">
        <f>'[6]Final prices'!S42*1000/'[6]Final income'!S42</f>
        <v>2.1950788309243832</v>
      </c>
      <c r="T42" s="177">
        <f>'[6]Final prices'!T42*1000/'[6]Final income'!T42</f>
        <v>2.02964813776582</v>
      </c>
      <c r="U42" s="177">
        <f>'[6]Final prices'!U42*1000/'[6]Final income'!U42</f>
        <v>2.1737839471845266</v>
      </c>
      <c r="V42" s="177">
        <f>'[6]Final prices'!V42*1000/'[6]Final income'!V42</f>
        <v>2.4343134845108443</v>
      </c>
      <c r="W42" s="177">
        <f>'[6]Final prices'!W42*1000/'[6]Final income'!W42</f>
        <v>2.393670544476572</v>
      </c>
    </row>
    <row r="43" spans="1:23">
      <c r="A43" s="65" t="s">
        <v>143</v>
      </c>
      <c r="B43" s="177" t="s">
        <v>25</v>
      </c>
      <c r="C43" s="177">
        <f>'[6]Final prices'!C43*1000/'[6]Final income'!C43</f>
        <v>2.8010583803223845</v>
      </c>
      <c r="D43" s="177">
        <f>'[6]Final prices'!D43*1000/'[6]Final income'!D43</f>
        <v>2.709942079667965</v>
      </c>
      <c r="E43" s="177">
        <f>'[6]Final prices'!E43*1000/'[6]Final income'!E43</f>
        <v>2.6636474013449174</v>
      </c>
      <c r="F43" s="177">
        <f>'[6]Final prices'!F43*1000/'[6]Final income'!F43</f>
        <v>2.4433940912150791</v>
      </c>
      <c r="G43" s="177">
        <f>'[6]Final prices'!G43*1000/'[6]Final income'!G43</f>
        <v>2.4084339605828204</v>
      </c>
      <c r="H43" s="177">
        <f>'[6]Final prices'!H43*1000/'[6]Final income'!H43</f>
        <v>2.6411775631127052</v>
      </c>
      <c r="I43" s="177">
        <f>'[6]Final prices'!I43*1000/'[6]Final income'!I43</f>
        <v>2.5629462732904189</v>
      </c>
      <c r="J43" s="177">
        <f>'[6]Final prices'!J43*1000/'[6]Final income'!J43</f>
        <v>2.6575090385236604</v>
      </c>
      <c r="K43" s="177">
        <f>'[6]Final prices'!K43*1000/'[6]Final income'!K43</f>
        <v>2.5170899967560962</v>
      </c>
      <c r="L43" s="177">
        <f>'[6]Final prices'!L43*1000/'[6]Final income'!L43</f>
        <v>2.6118019011958826</v>
      </c>
      <c r="M43" s="177" t="s">
        <v>25</v>
      </c>
      <c r="N43" s="177">
        <f>'[6]Final prices'!N43*1000/'[6]Final income'!N43</f>
        <v>2.896535705526615</v>
      </c>
      <c r="O43" s="177">
        <f>'[6]Final prices'!O43*1000/'[6]Final income'!O43</f>
        <v>2.7984494899188639</v>
      </c>
      <c r="P43" s="177">
        <f>'[6]Final prices'!P43*1000/'[6]Final income'!P43</f>
        <v>3.0766435092904003</v>
      </c>
      <c r="Q43" s="177">
        <f>'[6]Final prices'!Q43*1000/'[6]Final income'!Q43</f>
        <v>3.3636796383405905</v>
      </c>
      <c r="R43" s="177">
        <f>'[6]Final prices'!R43*1000/'[6]Final income'!R43</f>
        <v>3.5395399714312354</v>
      </c>
      <c r="S43" s="177">
        <f>'[6]Final prices'!S43*1000/'[6]Final income'!S43</f>
        <v>3.1558787214398181</v>
      </c>
      <c r="T43" s="177">
        <f>'[6]Final prices'!T43*1000/'[6]Final income'!T43</f>
        <v>2.8269693357971564</v>
      </c>
      <c r="U43" s="177">
        <f>'[6]Final prices'!U43*1000/'[6]Final income'!U43</f>
        <v>3.0574678821358798</v>
      </c>
      <c r="V43" s="177">
        <f>'[6]Final prices'!V43*1000/'[6]Final income'!V43</f>
        <v>3.0451534346117484</v>
      </c>
      <c r="W43" s="177">
        <f>'[6]Final prices'!W43*1000/'[6]Final income'!W43</f>
        <v>3.0800987086197993</v>
      </c>
    </row>
    <row r="44" spans="1:23">
      <c r="A44" s="65" t="s">
        <v>144</v>
      </c>
      <c r="B44" s="177">
        <f>'[6]Final prices'!B44*1000/'[6]Final income'!B44</f>
        <v>2.3651205392003676</v>
      </c>
      <c r="C44" s="177">
        <f>'[6]Final prices'!C44*1000/'[6]Final income'!C44</f>
        <v>2.3326869783600377</v>
      </c>
      <c r="D44" s="177">
        <f>'[6]Final prices'!D44*1000/'[6]Final income'!D44</f>
        <v>2.4112467618446538</v>
      </c>
      <c r="E44" s="177">
        <f>'[6]Final prices'!E44*1000/'[6]Final income'!E44</f>
        <v>2.2967772943510925</v>
      </c>
      <c r="F44" s="177">
        <f>'[6]Final prices'!F44*1000/'[6]Final income'!F44</f>
        <v>2.3680492198635186</v>
      </c>
      <c r="G44" s="177">
        <f>'[6]Final prices'!G44*1000/'[6]Final income'!G44</f>
        <v>2.3438583709412795</v>
      </c>
      <c r="H44" s="177">
        <f>'[6]Final prices'!H44*1000/'[6]Final income'!H44</f>
        <v>2.4063890468756877</v>
      </c>
      <c r="I44" s="177">
        <f>'[6]Final prices'!I44*1000/'[6]Final income'!I44</f>
        <v>2.2225640063097534</v>
      </c>
      <c r="J44" s="177">
        <f>'[6]Final prices'!J44*1000/'[6]Final income'!J44</f>
        <v>2.2365202340349133</v>
      </c>
      <c r="K44" s="177">
        <f>'[6]Final prices'!K44*1000/'[6]Final income'!K44</f>
        <v>2.2111507447597938</v>
      </c>
      <c r="L44" s="177">
        <f>'[6]Final prices'!L44*1000/'[6]Final income'!L44</f>
        <v>2.3136907833637674</v>
      </c>
      <c r="M44" s="177">
        <f>'[6]Final prices'!M44*1000/'[6]Final income'!M44</f>
        <v>2.4987058928350221</v>
      </c>
      <c r="N44" s="177">
        <f>'[6]Final prices'!N44*1000/'[6]Final income'!N44</f>
        <v>2.6549845384929407</v>
      </c>
      <c r="O44" s="177">
        <f>'[6]Final prices'!O44*1000/'[6]Final income'!O44</f>
        <v>2.9630421557708888</v>
      </c>
      <c r="P44" s="177">
        <f>'[6]Final prices'!P44*1000/'[6]Final income'!P44</f>
        <v>3.3008039315162616</v>
      </c>
      <c r="Q44" s="177">
        <f>'[6]Final prices'!Q44*1000/'[6]Final income'!Q44</f>
        <v>3.6878113967508241</v>
      </c>
      <c r="R44" s="177">
        <f>'[6]Final prices'!R44*1000/'[6]Final income'!R44</f>
        <v>3.8099788296582289</v>
      </c>
      <c r="S44" s="177">
        <f>'[6]Final prices'!S44*1000/'[6]Final income'!S44</f>
        <v>3.6075580035367021</v>
      </c>
      <c r="T44" s="177">
        <f>'[6]Final prices'!T44*1000/'[6]Final income'!T44</f>
        <v>3.3283152532830726</v>
      </c>
      <c r="U44" s="177">
        <f>'[6]Final prices'!U44*1000/'[6]Final income'!U44</f>
        <v>2.9432519521373508</v>
      </c>
      <c r="V44" s="177">
        <f>'[6]Final prices'!V44*1000/'[6]Final income'!V44</f>
        <v>2.7250110072587934</v>
      </c>
      <c r="W44" s="177">
        <f>'[6]Final prices'!W44*1000/'[6]Final income'!W44</f>
        <v>2.449820106587254</v>
      </c>
    </row>
    <row r="45" spans="1:23">
      <c r="A45" s="65" t="s">
        <v>145</v>
      </c>
      <c r="B45" s="177">
        <f>'[6]Final prices'!B45*1000/'[6]Final income'!B45</f>
        <v>2.2154001060573134</v>
      </c>
      <c r="C45" s="177">
        <f>'[6]Final prices'!C45*1000/'[6]Final income'!C45</f>
        <v>2.2829315775896175</v>
      </c>
      <c r="D45" s="177">
        <f>'[6]Final prices'!D45*1000/'[6]Final income'!D45</f>
        <v>2.3542108453957815</v>
      </c>
      <c r="E45" s="177">
        <f>'[6]Final prices'!E45*1000/'[6]Final income'!E45</f>
        <v>2.419765240072846</v>
      </c>
      <c r="F45" s="177">
        <f>'[6]Final prices'!F45*1000/'[6]Final income'!F45</f>
        <v>2.5140364869917544</v>
      </c>
      <c r="G45" s="177">
        <f>'[6]Final prices'!G45*1000/'[6]Final income'!G45</f>
        <v>2.3624977513196961</v>
      </c>
      <c r="H45" s="177">
        <f>'[6]Final prices'!H45*1000/'[6]Final income'!H45</f>
        <v>2.4945348163460603</v>
      </c>
      <c r="I45" s="177">
        <f>'[6]Final prices'!I45*1000/'[6]Final income'!I45</f>
        <v>2.4596593188062519</v>
      </c>
      <c r="J45" s="177">
        <f>'[6]Final prices'!J45*1000/'[6]Final income'!J45</f>
        <v>2.4794016090994728</v>
      </c>
      <c r="K45" s="177">
        <f>'[6]Final prices'!K45*1000/'[6]Final income'!K45</f>
        <v>2.5917828764106745</v>
      </c>
      <c r="L45" s="177">
        <f>'[6]Final prices'!L45*1000/'[6]Final income'!L45</f>
        <v>2.6774081717420342</v>
      </c>
      <c r="M45" s="177">
        <f>'[6]Final prices'!M45*1000/'[6]Final income'!M45</f>
        <v>2.8032405678855676</v>
      </c>
      <c r="N45" s="177">
        <f>'[6]Final prices'!N45*1000/'[6]Final income'!N45</f>
        <v>2.8211334925605893</v>
      </c>
      <c r="O45" s="177">
        <f>'[6]Final prices'!O45*1000/'[6]Final income'!O45</f>
        <v>2.891745708135919</v>
      </c>
      <c r="P45" s="177">
        <f>'[6]Final prices'!P45*1000/'[6]Final income'!P45</f>
        <v>2.9565631081510073</v>
      </c>
      <c r="Q45" s="177">
        <f>'[6]Final prices'!Q45*1000/'[6]Final income'!Q45</f>
        <v>3.0371312697566695</v>
      </c>
      <c r="R45" s="177">
        <f>'[6]Final prices'!R45*1000/'[6]Final income'!R45</f>
        <v>2.9276872326519916</v>
      </c>
      <c r="S45" s="177">
        <f>'[6]Final prices'!S45*1000/'[6]Final income'!S45</f>
        <v>2.7553838325739317</v>
      </c>
      <c r="T45" s="177">
        <f>'[6]Final prices'!T45*1000/'[6]Final income'!T45</f>
        <v>2.4735182796447144</v>
      </c>
      <c r="U45" s="177">
        <f>'[6]Final prices'!U45*1000/'[6]Final income'!U45</f>
        <v>2.5218070930283063</v>
      </c>
      <c r="V45" s="177">
        <f>'[6]Final prices'!V45*1000/'[6]Final income'!V45</f>
        <v>2.5471829164187008</v>
      </c>
      <c r="W45" s="177">
        <f>'[6]Final prices'!W45*1000/'[6]Final income'!W45</f>
        <v>2.349254888432375</v>
      </c>
    </row>
    <row r="46" spans="1:23">
      <c r="A46" s="65" t="s">
        <v>146</v>
      </c>
      <c r="B46" s="177">
        <f>'[6]Final prices'!B46*1000/'[6]Final income'!B46</f>
        <v>2.9068230184124118</v>
      </c>
      <c r="C46" s="177">
        <f>'[6]Final prices'!C46*1000/'[6]Final income'!C46</f>
        <v>2.8552479034313372</v>
      </c>
      <c r="D46" s="177">
        <f>'[6]Final prices'!D46*1000/'[6]Final income'!D46</f>
        <v>2.9611189565426654</v>
      </c>
      <c r="E46" s="177">
        <f>'[6]Final prices'!E46*1000/'[6]Final income'!E46</f>
        <v>3.0872470617249035</v>
      </c>
      <c r="F46" s="177">
        <f>'[6]Final prices'!F46*1000/'[6]Final income'!F46</f>
        <v>2.8777205380932473</v>
      </c>
      <c r="G46" s="177">
        <f>'[6]Final prices'!G46*1000/'[6]Final income'!G46</f>
        <v>3.0101664376707431</v>
      </c>
      <c r="H46" s="177">
        <f>'[6]Final prices'!H46*1000/'[6]Final income'!H46</f>
        <v>3.0425220569753613</v>
      </c>
      <c r="I46" s="177">
        <f>'[6]Final prices'!I46*1000/'[6]Final income'!I46</f>
        <v>3.1303554086109435</v>
      </c>
      <c r="J46" s="177">
        <f>'[6]Final prices'!J46*1000/'[6]Final income'!J46</f>
        <v>2.9858583937078547</v>
      </c>
      <c r="K46" s="177">
        <f>'[6]Final prices'!K46*1000/'[6]Final income'!K46</f>
        <v>2.9033525733130792</v>
      </c>
      <c r="L46" s="177">
        <f>'[6]Final prices'!L46*1000/'[6]Final income'!L46</f>
        <v>2.9324882605857083</v>
      </c>
      <c r="M46" s="177">
        <f>'[6]Final prices'!M46*1000/'[6]Final income'!M46</f>
        <v>3.0824873618018169</v>
      </c>
      <c r="N46" s="177">
        <f>'[6]Final prices'!N46*1000/'[6]Final income'!N46</f>
        <v>3.0792576775151796</v>
      </c>
      <c r="O46" s="177">
        <f>'[6]Final prices'!O46*1000/'[6]Final income'!O46</f>
        <v>3.2653422765007498</v>
      </c>
      <c r="P46" s="177">
        <f>'[6]Final prices'!P46*1000/'[6]Final income'!P46</f>
        <v>3.2315034240922529</v>
      </c>
      <c r="Q46" s="177">
        <f>'[6]Final prices'!Q46*1000/'[6]Final income'!Q46</f>
        <v>3.5184274453233613</v>
      </c>
      <c r="R46" s="177">
        <f>'[6]Final prices'!R46*1000/'[6]Final income'!R46</f>
        <v>3.549946412587524</v>
      </c>
      <c r="S46" s="177">
        <f>'[6]Final prices'!S46*1000/'[6]Final income'!S46</f>
        <v>3.4993755836665081</v>
      </c>
      <c r="T46" s="177">
        <f>'[6]Final prices'!T46*1000/'[6]Final income'!T46</f>
        <v>3.2380412502107068</v>
      </c>
      <c r="U46" s="177">
        <f>'[6]Final prices'!U46*1000/'[6]Final income'!U46</f>
        <v>3.2156491757111212</v>
      </c>
      <c r="V46" s="177">
        <f>'[6]Final prices'!V46*1000/'[6]Final income'!V46</f>
        <v>3.2267971863980067</v>
      </c>
      <c r="W46" s="177">
        <f>'[6]Final prices'!W46*1000/'[6]Final income'!W46</f>
        <v>3.1895015744107336</v>
      </c>
    </row>
    <row r="47" spans="1:23">
      <c r="A47" s="65" t="s">
        <v>147</v>
      </c>
      <c r="B47" s="177">
        <f>'[6]Final prices'!B47*1000/'[6]Final income'!B47</f>
        <v>2.7768854473405615</v>
      </c>
      <c r="C47" s="177">
        <f>'[6]Final prices'!C47*1000/'[6]Final income'!C47</f>
        <v>2.9071649374789073</v>
      </c>
      <c r="D47" s="177">
        <f>'[6]Final prices'!D47*1000/'[6]Final income'!D47</f>
        <v>3.0650801151125839</v>
      </c>
      <c r="E47" s="177">
        <f>'[6]Final prices'!E47*1000/'[6]Final income'!E47</f>
        <v>2.8053518110254219</v>
      </c>
      <c r="F47" s="177">
        <f>'[6]Final prices'!F47*1000/'[6]Final income'!F47</f>
        <v>2.8453507644288085</v>
      </c>
      <c r="G47" s="177">
        <f>'[6]Final prices'!G47*1000/'[6]Final income'!G47</f>
        <v>2.8803190569840496</v>
      </c>
      <c r="H47" s="177">
        <f>'[6]Final prices'!H47*1000/'[6]Final income'!H47</f>
        <v>2.8054369462717039</v>
      </c>
      <c r="I47" s="177">
        <f>'[6]Final prices'!I47*1000/'[6]Final income'!I47</f>
        <v>2.8749877150710548</v>
      </c>
      <c r="J47" s="177">
        <f>'[6]Final prices'!J47*1000/'[6]Final income'!J47</f>
        <v>2.9169585122208788</v>
      </c>
      <c r="K47" s="177">
        <f>'[6]Final prices'!K47*1000/'[6]Final income'!K47</f>
        <v>2.9277613248175469</v>
      </c>
      <c r="L47" s="177">
        <f>'[6]Final prices'!L47*1000/'[6]Final income'!L47</f>
        <v>3.1122011400922531</v>
      </c>
      <c r="M47" s="177">
        <f>'[6]Final prices'!M47*1000/'[6]Final income'!M47</f>
        <v>3.4024980257378901</v>
      </c>
      <c r="N47" s="177">
        <f>'[6]Final prices'!N47*1000/'[6]Final income'!N47</f>
        <v>3.714035524960535</v>
      </c>
      <c r="O47" s="177">
        <f>'[6]Final prices'!O47*1000/'[6]Final income'!O47</f>
        <v>4.0704402315957831</v>
      </c>
      <c r="P47" s="177">
        <f>'[6]Final prices'!P47*1000/'[6]Final income'!P47</f>
        <v>6.0420290253969755</v>
      </c>
      <c r="Q47" s="177">
        <f>'[6]Final prices'!Q47*1000/'[6]Final income'!Q47</f>
        <v>6.2392841892227393</v>
      </c>
      <c r="R47" s="177">
        <f>'[6]Final prices'!R47*1000/'[6]Final income'!R47</f>
        <v>5.9561443229987088</v>
      </c>
      <c r="S47" s="177">
        <f>'[6]Final prices'!S47*1000/'[6]Final income'!S47</f>
        <v>5.3187785503474139</v>
      </c>
      <c r="T47" s="177">
        <f>'[6]Final prices'!T47*1000/'[6]Final income'!T47</f>
        <v>3.8420580402181557</v>
      </c>
      <c r="U47" s="177">
        <f>'[6]Final prices'!U47*1000/'[6]Final income'!U47</f>
        <v>2.6734109806271102</v>
      </c>
      <c r="V47" s="177">
        <f>'[6]Final prices'!V47*1000/'[6]Final income'!V47</f>
        <v>2.6950024673489783</v>
      </c>
      <c r="W47" s="177">
        <f>'[6]Final prices'!W47*1000/'[6]Final income'!W47</f>
        <v>2.4002362717548471</v>
      </c>
    </row>
    <row r="48" spans="1:23">
      <c r="A48" s="65" t="s">
        <v>148</v>
      </c>
      <c r="B48" s="177">
        <f>'[6]Final prices'!B48*1000/'[6]Final income'!B48</f>
        <v>2.3112826144286576</v>
      </c>
      <c r="C48" s="177">
        <f>'[6]Final prices'!C48*1000/'[6]Final income'!C48</f>
        <v>2.3161569659053343</v>
      </c>
      <c r="D48" s="177" t="s">
        <v>25</v>
      </c>
      <c r="E48" s="177">
        <f>'[6]Final prices'!E48*1000/'[6]Final income'!E48</f>
        <v>2.7504643313849644</v>
      </c>
      <c r="F48" s="177">
        <f>'[6]Final prices'!F48*1000/'[6]Final income'!F48</f>
        <v>2.3106597574366967</v>
      </c>
      <c r="G48" s="177">
        <f>'[6]Final prices'!G48*1000/'[6]Final income'!G48</f>
        <v>2.3891076225211543</v>
      </c>
      <c r="H48" s="177">
        <f>'[6]Final prices'!H48*1000/'[6]Final income'!H48</f>
        <v>2.3881523221246099</v>
      </c>
      <c r="I48" s="177">
        <f>'[6]Final prices'!I48*1000/'[6]Final income'!I48</f>
        <v>2.5144359862732477</v>
      </c>
      <c r="J48" s="177">
        <f>'[6]Final prices'!J48*1000/'[6]Final income'!J48</f>
        <v>2.5095944002657755</v>
      </c>
      <c r="K48" s="177">
        <f>'[6]Final prices'!K48*1000/'[6]Final income'!K48</f>
        <v>2.3409880222649639</v>
      </c>
      <c r="L48" s="177">
        <f>'[6]Final prices'!L48*1000/'[6]Final income'!L48</f>
        <v>2.2203612583359242</v>
      </c>
      <c r="M48" s="177">
        <f>'[6]Final prices'!M48*1000/'[6]Final income'!M48</f>
        <v>2.3546668041118206</v>
      </c>
      <c r="N48" s="177">
        <f>'[6]Final prices'!N48*1000/'[6]Final income'!N48</f>
        <v>2.3092065409379949</v>
      </c>
      <c r="O48" s="177">
        <f>'[6]Final prices'!O48*1000/'[6]Final income'!O48</f>
        <v>2.5249101929987527</v>
      </c>
      <c r="P48" s="177">
        <f>'[6]Final prices'!P48*1000/'[6]Final income'!P48</f>
        <v>2.7222293953709649</v>
      </c>
      <c r="Q48" s="177">
        <f>'[6]Final prices'!Q48*1000/'[6]Final income'!Q48</f>
        <v>2.8384083908431479</v>
      </c>
      <c r="R48" s="177">
        <f>'[6]Final prices'!R48*1000/'[6]Final income'!R48</f>
        <v>2.8896682833509564</v>
      </c>
      <c r="S48" s="177">
        <f>'[6]Final prices'!S48*1000/'[6]Final income'!S48</f>
        <v>2.8185740624980133</v>
      </c>
      <c r="T48" s="177">
        <f>'[6]Final prices'!T48*1000/'[6]Final income'!T48</f>
        <v>2.8027287541491863</v>
      </c>
      <c r="U48" s="177">
        <f>'[6]Final prices'!U48*1000/'[6]Final income'!U48</f>
        <v>2.9408953597103022</v>
      </c>
      <c r="V48" s="177">
        <f>'[6]Final prices'!V48*1000/'[6]Final income'!V48</f>
        <v>2.9280037201516222</v>
      </c>
      <c r="W48" s="177">
        <f>'[6]Final prices'!W48*1000/'[6]Final income'!W48</f>
        <v>2.7330251875389897</v>
      </c>
    </row>
    <row r="49" spans="1:23">
      <c r="A49" s="65" t="s">
        <v>149</v>
      </c>
      <c r="B49" s="177">
        <f>'[6]Final prices'!B49*1000/'[6]Final income'!B49</f>
        <v>5.6354423521041195</v>
      </c>
      <c r="C49" s="177">
        <f>'[6]Final prices'!C49*1000/'[6]Final income'!C49</f>
        <v>5.7640111137768848</v>
      </c>
      <c r="D49" s="177">
        <f>'[6]Final prices'!D49*1000/'[6]Final income'!D49</f>
        <v>5.4982837661380932</v>
      </c>
      <c r="E49" s="177">
        <f>'[6]Final prices'!E49*1000/'[6]Final income'!E49</f>
        <v>5.2016907393383329</v>
      </c>
      <c r="F49" s="177">
        <f>'[6]Final prices'!F49*1000/'[6]Final income'!F49</f>
        <v>4.8985867887702348</v>
      </c>
      <c r="G49" s="177">
        <f>'[6]Final prices'!G49*1000/'[6]Final income'!G49</f>
        <v>4.4041833521247229</v>
      </c>
      <c r="H49" s="177">
        <f>'[6]Final prices'!H49*1000/'[6]Final income'!H49</f>
        <v>4.0717129710867326</v>
      </c>
      <c r="I49" s="177">
        <f>'[6]Final prices'!I49*1000/'[6]Final income'!I49</f>
        <v>4.0604554388349188</v>
      </c>
      <c r="J49" s="177">
        <f>'[6]Final prices'!J49*1000/'[6]Final income'!J49</f>
        <v>4.2545404839257168</v>
      </c>
      <c r="K49" s="177">
        <f>'[6]Final prices'!K49*1000/'[6]Final income'!K49</f>
        <v>4.3292879285865276</v>
      </c>
      <c r="L49" s="177">
        <f>'[6]Final prices'!L49*1000/'[6]Final income'!L49</f>
        <v>4.6121393824487846</v>
      </c>
      <c r="M49" s="177">
        <f>'[6]Final prices'!M49*1000/'[6]Final income'!M49</f>
        <v>5.0615820102364104</v>
      </c>
      <c r="N49" s="177">
        <f>'[6]Final prices'!N49*1000/'[6]Final income'!N49</f>
        <v>5.9281090282875519</v>
      </c>
      <c r="O49" s="177">
        <f>'[6]Final prices'!O49*1000/'[6]Final income'!O49</f>
        <v>7.1466026089767949</v>
      </c>
      <c r="P49" s="177">
        <f>'[6]Final prices'!P49*1000/'[6]Final income'!P49</f>
        <v>8.8357485110236915</v>
      </c>
      <c r="Q49" s="177">
        <f>'[6]Final prices'!Q49*1000/'[6]Final income'!Q49</f>
        <v>10.036107743537764</v>
      </c>
      <c r="R49" s="177">
        <f>'[6]Final prices'!R49*1000/'[6]Final income'!R49</f>
        <v>10.359610263808394</v>
      </c>
      <c r="S49" s="177">
        <f>'[6]Final prices'!S49*1000/'[6]Final income'!S49</f>
        <v>9.7011297899708371</v>
      </c>
      <c r="T49" s="177">
        <f>'[6]Final prices'!T49*1000/'[6]Final income'!T49</f>
        <v>6.7287996454345524</v>
      </c>
      <c r="U49" s="177">
        <f>'[6]Final prices'!U49*1000/'[6]Final income'!U49</f>
        <v>5.6213365011421885</v>
      </c>
      <c r="V49" s="177">
        <f>'[6]Final prices'!V49*1000/'[6]Final income'!V49</f>
        <v>5.5370887045668749</v>
      </c>
      <c r="W49" s="177">
        <f>'[6]Final prices'!W49*1000/'[6]Final income'!W49</f>
        <v>5.1780178847105285</v>
      </c>
    </row>
    <row r="50" spans="1:23">
      <c r="A50" s="65" t="s">
        <v>150</v>
      </c>
      <c r="B50" s="177">
        <f>'[6]Final prices'!B50*1000/'[6]Final income'!B50</f>
        <v>2.1331091284336146</v>
      </c>
      <c r="C50" s="177">
        <f>'[6]Final prices'!C50*1000/'[6]Final income'!C50</f>
        <v>2.3644737815678503</v>
      </c>
      <c r="D50" s="177">
        <f>'[6]Final prices'!D50*1000/'[6]Final income'!D50</f>
        <v>2.5116452451101705</v>
      </c>
      <c r="E50" s="177">
        <f>'[6]Final prices'!E50*1000/'[6]Final income'!E50</f>
        <v>2.5804124560529487</v>
      </c>
      <c r="F50" s="177">
        <f>'[6]Final prices'!F50*1000/'[6]Final income'!F50</f>
        <v>2.6351119500169746</v>
      </c>
      <c r="G50" s="177">
        <f>'[6]Final prices'!G50*1000/'[6]Final income'!G50</f>
        <v>2.4759183245937142</v>
      </c>
      <c r="H50" s="177">
        <f>'[6]Final prices'!H50*1000/'[6]Final income'!H50</f>
        <v>2.4356751052075785</v>
      </c>
      <c r="I50" s="177">
        <f>'[6]Final prices'!I50*1000/'[6]Final income'!I50</f>
        <v>2.4509949047202566</v>
      </c>
      <c r="J50" s="177">
        <f>'[6]Final prices'!J50*1000/'[6]Final income'!J50</f>
        <v>2.5099899345319936</v>
      </c>
      <c r="K50" s="177">
        <f>'[6]Final prices'!K50*1000/'[6]Final income'!K50</f>
        <v>2.6720282844874701</v>
      </c>
      <c r="L50" s="177">
        <f>'[6]Final prices'!L50*1000/'[6]Final income'!L50</f>
        <v>2.8303961674307234</v>
      </c>
      <c r="M50" s="177">
        <f>'[6]Final prices'!M50*1000/'[6]Final income'!M50</f>
        <v>2.5549240100310846</v>
      </c>
      <c r="N50" s="177">
        <f>'[6]Final prices'!N50*1000/'[6]Final income'!N50</f>
        <v>2.9025503522010516</v>
      </c>
      <c r="O50" s="177">
        <f>'[6]Final prices'!O50*1000/'[6]Final income'!O50</f>
        <v>3.0844304452045757</v>
      </c>
      <c r="P50" s="177">
        <f>'[6]Final prices'!P50*1000/'[6]Final income'!P50</f>
        <v>3.0592677366458214</v>
      </c>
      <c r="Q50" s="177">
        <f>'[6]Final prices'!Q50*1000/'[6]Final income'!Q50</f>
        <v>3.0218828472555743</v>
      </c>
      <c r="R50" s="177">
        <f>'[6]Final prices'!R50*1000/'[6]Final income'!R50</f>
        <v>2.9696165587843</v>
      </c>
      <c r="S50" s="177">
        <f>'[6]Final prices'!S50*1000/'[6]Final income'!S50</f>
        <v>2.9219177688216296</v>
      </c>
      <c r="T50" s="177">
        <f>'[6]Final prices'!T50*1000/'[6]Final income'!T50</f>
        <v>2.7184152206526404</v>
      </c>
      <c r="U50" s="177">
        <f>'[6]Final prices'!U50*1000/'[6]Final income'!U50</f>
        <v>2.7960906337862066</v>
      </c>
      <c r="V50" s="177">
        <f>'[6]Final prices'!V50*1000/'[6]Final income'!V50</f>
        <v>2.9012639883639451</v>
      </c>
      <c r="W50" s="177">
        <f>'[6]Final prices'!W50*1000/'[6]Final income'!W50</f>
        <v>2.725605937242698</v>
      </c>
    </row>
    <row r="51" spans="1:23">
      <c r="A51" s="65" t="s">
        <v>151</v>
      </c>
      <c r="B51" s="177">
        <f>'[6]Final prices'!B51*1000/'[6]Final income'!B51</f>
        <v>2.3577557776852145</v>
      </c>
      <c r="C51" s="177">
        <f>'[6]Final prices'!C51*1000/'[6]Final income'!C51</f>
        <v>2.4864475189308393</v>
      </c>
      <c r="D51" s="177">
        <f>'[6]Final prices'!D51*1000/'[6]Final income'!D51</f>
        <v>2.5023797861266539</v>
      </c>
      <c r="E51" s="177">
        <f>'[6]Final prices'!E51*1000/'[6]Final income'!E51</f>
        <v>2.8935455790863438</v>
      </c>
      <c r="F51" s="177">
        <f>'[6]Final prices'!F51*1000/'[6]Final income'!F51</f>
        <v>2.8938985133082959</v>
      </c>
      <c r="G51" s="177">
        <f>'[6]Final prices'!G51*1000/'[6]Final income'!G51</f>
        <v>2.6828474239190157</v>
      </c>
      <c r="H51" s="177">
        <f>'[6]Final prices'!H51*1000/'[6]Final income'!H51</f>
        <v>2.7344267414832766</v>
      </c>
      <c r="I51" s="177">
        <f>'[6]Final prices'!I51*1000/'[6]Final income'!I51</f>
        <v>2.8511829136534645</v>
      </c>
      <c r="J51" s="177">
        <f>'[6]Final prices'!J51*1000/'[6]Final income'!J51</f>
        <v>2.873056449470746</v>
      </c>
      <c r="K51" s="177">
        <f>'[6]Final prices'!K51*1000/'[6]Final income'!K51</f>
        <v>2.7672910840217528</v>
      </c>
      <c r="L51" s="177">
        <f>'[6]Final prices'!L51*1000/'[6]Final income'!L51</f>
        <v>3.1073681154844346</v>
      </c>
      <c r="M51" s="177">
        <f>'[6]Final prices'!M51*1000/'[6]Final income'!M51</f>
        <v>3.2820983297075728</v>
      </c>
      <c r="N51" s="177">
        <f>'[6]Final prices'!N51*1000/'[6]Final income'!N51</f>
        <v>3.5572382478732103</v>
      </c>
      <c r="O51" s="177">
        <f>'[6]Final prices'!O51*1000/'[6]Final income'!O51</f>
        <v>3.7627465339912542</v>
      </c>
      <c r="P51" s="177">
        <f>'[6]Final prices'!P51*1000/'[6]Final income'!P51</f>
        <v>3.9672759617263553</v>
      </c>
      <c r="Q51" s="177">
        <f>'[6]Final prices'!Q51*1000/'[6]Final income'!Q51</f>
        <v>4.1673264775102838</v>
      </c>
      <c r="R51" s="177">
        <f>'[6]Final prices'!R51*1000/'[6]Final income'!R51</f>
        <v>4.0395830508818182</v>
      </c>
      <c r="S51" s="177">
        <f>'[6]Final prices'!S51*1000/'[6]Final income'!S51</f>
        <v>3.9018004233429791</v>
      </c>
      <c r="T51" s="177">
        <f>'[6]Final prices'!T51*1000/'[6]Final income'!T51</f>
        <v>3.7377585146443435</v>
      </c>
      <c r="U51" s="177">
        <f>'[6]Final prices'!U51*1000/'[6]Final income'!U51</f>
        <v>3.6508923066678274</v>
      </c>
      <c r="V51" s="177">
        <f>'[6]Final prices'!V51*1000/'[6]Final income'!V51</f>
        <v>3.8693322308026765</v>
      </c>
      <c r="W51" s="177">
        <f>'[6]Final prices'!W51*1000/'[6]Final income'!W51</f>
        <v>3.6764771156187965</v>
      </c>
    </row>
    <row r="52" spans="1:23">
      <c r="A52" s="65" t="s">
        <v>152</v>
      </c>
      <c r="B52" s="177">
        <f>'[6]Final prices'!B52*1000/'[6]Final income'!B52</f>
        <v>2.9036997699810501</v>
      </c>
      <c r="C52" s="177">
        <f>'[6]Final prices'!C52*1000/'[6]Final income'!C52</f>
        <v>2.8954661499186245</v>
      </c>
      <c r="D52" s="177">
        <f>'[6]Final prices'!D52*1000/'[6]Final income'!D52</f>
        <v>3.0066902649823466</v>
      </c>
      <c r="E52" s="177">
        <f>'[6]Final prices'!E52*1000/'[6]Final income'!E52</f>
        <v>2.9791192155709343</v>
      </c>
      <c r="F52" s="177">
        <f>'[6]Final prices'!F52*1000/'[6]Final income'!F52</f>
        <v>2.6145047228743743</v>
      </c>
      <c r="G52" s="177">
        <f>'[6]Final prices'!G52*1000/'[6]Final income'!G52</f>
        <v>2.5935650346296644</v>
      </c>
      <c r="H52" s="177">
        <f>'[6]Final prices'!H52*1000/'[6]Final income'!H52</f>
        <v>2.7749617835039051</v>
      </c>
      <c r="I52" s="177">
        <f>'[6]Final prices'!I52*1000/'[6]Final income'!I52</f>
        <v>3.0037921224329116</v>
      </c>
      <c r="J52" s="177">
        <f>'[6]Final prices'!J52*1000/'[6]Final income'!J52</f>
        <v>2.9291341252253904</v>
      </c>
      <c r="K52" s="177">
        <f>'[6]Final prices'!K52*1000/'[6]Final income'!K52</f>
        <v>2.8029291254148072</v>
      </c>
      <c r="L52" s="177">
        <f>'[6]Final prices'!L52*1000/'[6]Final income'!L52</f>
        <v>2.8854127756576657</v>
      </c>
      <c r="M52" s="177">
        <f>'[6]Final prices'!M52*1000/'[6]Final income'!M52</f>
        <v>3.0710989828521607</v>
      </c>
      <c r="N52" s="177">
        <f>'[6]Final prices'!N52*1000/'[6]Final income'!N52</f>
        <v>3.1437286050614004</v>
      </c>
      <c r="O52" s="177">
        <f>'[6]Final prices'!O52*1000/'[6]Final income'!O52</f>
        <v>3.220190956841134</v>
      </c>
      <c r="P52" s="177">
        <f>'[6]Final prices'!P52*1000/'[6]Final income'!P52</f>
        <v>3.3229154089781083</v>
      </c>
      <c r="Q52" s="177">
        <f>'[6]Final prices'!Q52*1000/'[6]Final income'!Q52</f>
        <v>3.4485573803995049</v>
      </c>
      <c r="R52" s="177">
        <f>'[6]Final prices'!R52*1000/'[6]Final income'!R52</f>
        <v>3.3692147103293766</v>
      </c>
      <c r="S52" s="177">
        <f>'[6]Final prices'!S52*1000/'[6]Final income'!S52</f>
        <v>3.055202021430961</v>
      </c>
      <c r="T52" s="177">
        <f>'[6]Final prices'!T52*1000/'[6]Final income'!T52</f>
        <v>2.5475366057406097</v>
      </c>
      <c r="U52" s="177">
        <f>'[6]Final prices'!U52*1000/'[6]Final income'!U52</f>
        <v>2.6603946747039542</v>
      </c>
      <c r="V52" s="177">
        <f>'[6]Final prices'!V52*1000/'[6]Final income'!V52</f>
        <v>2.7041573136953758</v>
      </c>
      <c r="W52" s="177">
        <f>'[6]Final prices'!W52*1000/'[6]Final income'!W52</f>
        <v>2.5006550610719058</v>
      </c>
    </row>
    <row r="53" spans="1:23">
      <c r="A53" s="65" t="s">
        <v>153</v>
      </c>
      <c r="B53" s="177">
        <f>'[6]Final prices'!B53*1000/'[6]Final income'!B53</f>
        <v>3.0141507235691325</v>
      </c>
      <c r="C53" s="177">
        <f>'[6]Final prices'!C53*1000/'[6]Final income'!C53</f>
        <v>3.0235157835516637</v>
      </c>
      <c r="D53" s="177">
        <f>'[6]Final prices'!D53*1000/'[6]Final income'!D53</f>
        <v>3.1264478176735304</v>
      </c>
      <c r="E53" s="177">
        <f>'[6]Final prices'!E53*1000/'[6]Final income'!E53</f>
        <v>3.0891695038600173</v>
      </c>
      <c r="F53" s="177">
        <f>'[6]Final prices'!F53*1000/'[6]Final income'!F53</f>
        <v>3.0545587280323701</v>
      </c>
      <c r="G53" s="177">
        <f>'[6]Final prices'!G53*1000/'[6]Final income'!G53</f>
        <v>3.1019985673643191</v>
      </c>
      <c r="H53" s="177">
        <f>'[6]Final prices'!H53*1000/'[6]Final income'!H53</f>
        <v>3.2090187838000546</v>
      </c>
      <c r="I53" s="177">
        <f>'[6]Final prices'!I53*1000/'[6]Final income'!I53</f>
        <v>3.2387936741334644</v>
      </c>
      <c r="J53" s="177">
        <f>'[6]Final prices'!J53*1000/'[6]Final income'!J53</f>
        <v>3.1263893203700368</v>
      </c>
      <c r="K53" s="177">
        <f>'[6]Final prices'!K53*1000/'[6]Final income'!K53</f>
        <v>3.3390564151146109</v>
      </c>
      <c r="L53" s="177">
        <f>'[6]Final prices'!L53*1000/'[6]Final income'!L53</f>
        <v>3.5725399584191568</v>
      </c>
      <c r="M53" s="177">
        <f>'[6]Final prices'!M53*1000/'[6]Final income'!M53</f>
        <v>3.9687929732676834</v>
      </c>
      <c r="N53" s="177">
        <f>'[6]Final prices'!N53*1000/'[6]Final income'!N53</f>
        <v>4.8927690161377946</v>
      </c>
      <c r="O53" s="177">
        <f>'[6]Final prices'!O53*1000/'[6]Final income'!O53</f>
        <v>5.756443747795819</v>
      </c>
      <c r="P53" s="177">
        <f>'[6]Final prices'!P53*1000/'[6]Final income'!P53</f>
        <v>7.0164557561324505</v>
      </c>
      <c r="Q53" s="177">
        <f>'[6]Final prices'!Q53*1000/'[6]Final income'!Q53</f>
        <v>8.7461374488840011</v>
      </c>
      <c r="R53" s="177">
        <f>'[6]Final prices'!R53*1000/'[6]Final income'!R53</f>
        <v>8.0759433002740231</v>
      </c>
      <c r="S53" s="177">
        <f>'[6]Final prices'!S53*1000/'[6]Final income'!S53</f>
        <v>7.4726909660311147</v>
      </c>
      <c r="T53" s="177">
        <f>'[6]Final prices'!T53*1000/'[6]Final income'!T53</f>
        <v>5.888877842802942</v>
      </c>
      <c r="U53" s="177">
        <f>'[6]Final prices'!U53*1000/'[6]Final income'!U53</f>
        <v>4.556396191839033</v>
      </c>
      <c r="V53" s="177">
        <f>'[6]Final prices'!V53*1000/'[6]Final income'!V53</f>
        <v>4.4936850424958195</v>
      </c>
      <c r="W53" s="177">
        <f>'[6]Final prices'!W53*1000/'[6]Final income'!W53</f>
        <v>3.9098272194522057</v>
      </c>
    </row>
    <row r="54" spans="1:23">
      <c r="A54" s="65" t="s">
        <v>154</v>
      </c>
      <c r="B54" s="177">
        <f>'[6]Final prices'!B54*1000/'[6]Final income'!B54</f>
        <v>2.5182058519553268</v>
      </c>
      <c r="C54" s="177">
        <f>'[6]Final prices'!C54*1000/'[6]Final income'!C54</f>
        <v>2.6728966590731673</v>
      </c>
      <c r="D54" s="177">
        <f>'[6]Final prices'!D54*1000/'[6]Final income'!D54</f>
        <v>2.7352053319303087</v>
      </c>
      <c r="E54" s="177">
        <f>'[6]Final prices'!E54*1000/'[6]Final income'!E54</f>
        <v>3.095994019266294</v>
      </c>
      <c r="F54" s="177">
        <f>'[6]Final prices'!F54*1000/'[6]Final income'!F54</f>
        <v>2.9465727843106624</v>
      </c>
      <c r="G54" s="177">
        <f>'[6]Final prices'!G54*1000/'[6]Final income'!G54</f>
        <v>2.6954156884957463</v>
      </c>
      <c r="H54" s="177">
        <f>'[6]Final prices'!H54*1000/'[6]Final income'!H54</f>
        <v>2.8911221696094884</v>
      </c>
      <c r="I54" s="177">
        <f>'[6]Final prices'!I54*1000/'[6]Final income'!I54</f>
        <v>3.0777266792029279</v>
      </c>
      <c r="J54" s="177">
        <f>'[6]Final prices'!J54*1000/'[6]Final income'!J54</f>
        <v>3.1346835543507638</v>
      </c>
      <c r="K54" s="177">
        <f>'[6]Final prices'!K54*1000/'[6]Final income'!K54</f>
        <v>2.930219369239127</v>
      </c>
      <c r="L54" s="177">
        <f>'[6]Final prices'!L54*1000/'[6]Final income'!L54</f>
        <v>3.0197989289242031</v>
      </c>
      <c r="M54" s="177">
        <f>'[6]Final prices'!M54*1000/'[6]Final income'!M54</f>
        <v>3.2725599247959942</v>
      </c>
      <c r="N54" s="177">
        <f>'[6]Final prices'!N54*1000/'[6]Final income'!N54</f>
        <v>3.7590488817047114</v>
      </c>
      <c r="O54" s="177">
        <f>'[6]Final prices'!O54*1000/'[6]Final income'!O54</f>
        <v>3.9213648888160635</v>
      </c>
      <c r="P54" s="177">
        <f>'[6]Final prices'!P54*1000/'[6]Final income'!P54</f>
        <v>4.1488139210570578</v>
      </c>
      <c r="Q54" s="177">
        <f>'[6]Final prices'!Q54*1000/'[6]Final income'!Q54</f>
        <v>4.3737786352754826</v>
      </c>
      <c r="R54" s="177">
        <f>'[6]Final prices'!R54*1000/'[6]Final income'!R54</f>
        <v>4.3720180018080042</v>
      </c>
      <c r="S54" s="177">
        <f>'[6]Final prices'!S54*1000/'[6]Final income'!S54</f>
        <v>4.2331750008112738</v>
      </c>
      <c r="T54" s="177">
        <f>'[6]Final prices'!T54*1000/'[6]Final income'!T54</f>
        <v>3.855210490788096</v>
      </c>
      <c r="U54" s="177">
        <f>'[6]Final prices'!U54*1000/'[6]Final income'!U54</f>
        <v>3.6924059983869721</v>
      </c>
      <c r="V54" s="177">
        <f>'[6]Final prices'!V54*1000/'[6]Final income'!V54</f>
        <v>4.0369176160531923</v>
      </c>
      <c r="W54" s="177">
        <f>'[6]Final prices'!W54*1000/'[6]Final income'!W54</f>
        <v>3.5722271448336795</v>
      </c>
    </row>
    <row r="55" spans="1:23">
      <c r="A55" s="65" t="s">
        <v>155</v>
      </c>
      <c r="B55" s="177">
        <f>'[6]Final prices'!B55*1000/'[6]Final income'!B55</f>
        <v>2.3376619049981597</v>
      </c>
      <c r="C55" s="177">
        <f>'[6]Final prices'!C55*1000/'[6]Final income'!C55</f>
        <v>2.5717051718946751</v>
      </c>
      <c r="D55" s="177">
        <f>'[6]Final prices'!D55*1000/'[6]Final income'!D55</f>
        <v>2.5432802175643952</v>
      </c>
      <c r="E55" s="177">
        <f>'[6]Final prices'!E55*1000/'[6]Final income'!E55</f>
        <v>2.4545108745236739</v>
      </c>
      <c r="F55" s="177">
        <f>'[6]Final prices'!F55*1000/'[6]Final income'!F55</f>
        <v>2.5504022057200935</v>
      </c>
      <c r="G55" s="177">
        <f>'[6]Final prices'!G55*1000/'[6]Final income'!G55</f>
        <v>2.379275797936045</v>
      </c>
      <c r="H55" s="177">
        <f>'[6]Final prices'!H55*1000/'[6]Final income'!H55</f>
        <v>2.3974896232233092</v>
      </c>
      <c r="I55" s="177">
        <f>'[6]Final prices'!I55*1000/'[6]Final income'!I55</f>
        <v>2.3913925836558474</v>
      </c>
      <c r="J55" s="177">
        <f>'[6]Final prices'!J55*1000/'[6]Final income'!J55</f>
        <v>2.3003721105755703</v>
      </c>
      <c r="K55" s="177">
        <f>'[6]Final prices'!K55*1000/'[6]Final income'!K55</f>
        <v>2.5463133813977179</v>
      </c>
      <c r="L55" s="177">
        <f>'[6]Final prices'!L55*1000/'[6]Final income'!L55</f>
        <v>2.6908273365407331</v>
      </c>
      <c r="M55" s="177">
        <f>'[6]Final prices'!M55*1000/'[6]Final income'!M55</f>
        <v>2.9583998685654458</v>
      </c>
      <c r="N55" s="177">
        <f>'[6]Final prices'!N55*1000/'[6]Final income'!N55</f>
        <v>3.2244911780848331</v>
      </c>
      <c r="O55" s="177">
        <f>'[6]Final prices'!O55*1000/'[6]Final income'!O55</f>
        <v>3.4872107166598543</v>
      </c>
      <c r="P55" s="177">
        <f>'[6]Final prices'!P55*1000/'[6]Final income'!P55</f>
        <v>3.695023647573322</v>
      </c>
      <c r="Q55" s="177">
        <f>'[6]Final prices'!Q55*1000/'[6]Final income'!Q55</f>
        <v>3.857582466864566</v>
      </c>
      <c r="R55" s="177">
        <f>'[6]Final prices'!R55*1000/'[6]Final income'!R55</f>
        <v>3.7575907850971371</v>
      </c>
      <c r="S55" s="177">
        <f>'[6]Final prices'!S55*1000/'[6]Final income'!S55</f>
        <v>3.5051480570556919</v>
      </c>
      <c r="T55" s="177">
        <f>'[6]Final prices'!T55*1000/'[6]Final income'!T55</f>
        <v>3.011604917167614</v>
      </c>
      <c r="U55" s="177">
        <f>'[6]Final prices'!U55*1000/'[6]Final income'!U55</f>
        <v>2.8002034943183127</v>
      </c>
      <c r="V55" s="177">
        <f>'[6]Final prices'!V55*1000/'[6]Final income'!V55</f>
        <v>2.6775555169066427</v>
      </c>
      <c r="W55" s="177">
        <f>'[6]Final prices'!W55*1000/'[6]Final income'!W55</f>
        <v>2.3502175485371857</v>
      </c>
    </row>
    <row r="56" spans="1:23">
      <c r="A56" s="65" t="s">
        <v>156</v>
      </c>
      <c r="B56" s="177">
        <f>'[6]Final prices'!B56*1000/'[6]Final income'!B56</f>
        <v>2.7152220699230427</v>
      </c>
      <c r="C56" s="177">
        <f>'[6]Final prices'!C56*1000/'[6]Final income'!C56</f>
        <v>2.687690629926867</v>
      </c>
      <c r="D56" s="177">
        <f>'[6]Final prices'!D56*1000/'[6]Final income'!D56</f>
        <v>2.802478792125159</v>
      </c>
      <c r="E56" s="177">
        <f>'[6]Final prices'!E56*1000/'[6]Final income'!E56</f>
        <v>2.7894050949892835</v>
      </c>
      <c r="F56" s="177">
        <f>'[6]Final prices'!F56*1000/'[6]Final income'!F56</f>
        <v>2.6433823681111108</v>
      </c>
      <c r="G56" s="177">
        <f>'[6]Final prices'!G56*1000/'[6]Final income'!G56</f>
        <v>2.9114078991644528</v>
      </c>
      <c r="H56" s="177">
        <f>'[6]Final prices'!H56*1000/'[6]Final income'!H56</f>
        <v>2.9280418496397438</v>
      </c>
      <c r="I56" s="177">
        <f>'[6]Final prices'!I56*1000/'[6]Final income'!I56</f>
        <v>3.0336237664270591</v>
      </c>
      <c r="J56" s="177">
        <f>'[6]Final prices'!J56*1000/'[6]Final income'!J56</f>
        <v>2.7986548406340161</v>
      </c>
      <c r="K56" s="177">
        <f>'[6]Final prices'!K56*1000/'[6]Final income'!K56</f>
        <v>2.6338543701045691</v>
      </c>
      <c r="L56" s="177">
        <f>'[6]Final prices'!L56*1000/'[6]Final income'!L56</f>
        <v>2.8237405679343155</v>
      </c>
      <c r="M56" s="177">
        <f>'[6]Final prices'!M56*1000/'[6]Final income'!M56</f>
        <v>2.9785406380175865</v>
      </c>
      <c r="N56" s="177" t="s">
        <v>25</v>
      </c>
      <c r="O56" s="177">
        <f>'[6]Final prices'!O56*1000/'[6]Final income'!O56</f>
        <v>3.0407644840137613</v>
      </c>
      <c r="P56" s="177">
        <f>'[6]Final prices'!P56*1000/'[6]Final income'!P56</f>
        <v>3.0712703197829674</v>
      </c>
      <c r="Q56" s="177">
        <f>'[6]Final prices'!Q56*1000/'[6]Final income'!Q56</f>
        <v>3.4100358620347979</v>
      </c>
      <c r="R56" s="177">
        <f>'[6]Final prices'!R56*1000/'[6]Final income'!R56</f>
        <v>3.4946507937762972</v>
      </c>
      <c r="S56" s="177">
        <f>'[6]Final prices'!S56*1000/'[6]Final income'!S56</f>
        <v>3.6240285412093987</v>
      </c>
      <c r="T56" s="177" t="s">
        <v>25</v>
      </c>
      <c r="U56" s="177" t="s">
        <v>25</v>
      </c>
      <c r="V56" s="177">
        <f>'[6]Final prices'!V56*1000/'[6]Final income'!V56</f>
        <v>3.0263886242443911</v>
      </c>
      <c r="W56" s="177">
        <f>'[6]Final prices'!W56*1000/'[6]Final income'!W56</f>
        <v>2.9187495010553537</v>
      </c>
    </row>
    <row r="57" spans="1:23">
      <c r="A57" s="65" t="s">
        <v>157</v>
      </c>
      <c r="B57" s="177">
        <f>'[6]Final prices'!B57*1000/'[6]Final income'!B57</f>
        <v>4.1707187126430787</v>
      </c>
      <c r="C57" s="177">
        <f>'[6]Final prices'!C57*1000/'[6]Final income'!C57</f>
        <v>3.8043056625252647</v>
      </c>
      <c r="D57" s="177">
        <f>'[6]Final prices'!D57*1000/'[6]Final income'!D57</f>
        <v>3.7518734168735808</v>
      </c>
      <c r="E57" s="177">
        <f>'[6]Final prices'!E57*1000/'[6]Final income'!E57</f>
        <v>3.796754349933674</v>
      </c>
      <c r="F57" s="177">
        <f>'[6]Final prices'!F57*1000/'[6]Final income'!F57</f>
        <v>3.556401185879118</v>
      </c>
      <c r="G57" s="177">
        <f>'[6]Final prices'!G57*1000/'[6]Final income'!G57</f>
        <v>3.4877954660382953</v>
      </c>
      <c r="H57" s="177">
        <f>'[6]Final prices'!H57*1000/'[6]Final income'!H57</f>
        <v>3.2643603263907326</v>
      </c>
      <c r="I57" s="177">
        <f>'[6]Final prices'!I57*1000/'[6]Final income'!I57</f>
        <v>3.1319565905202604</v>
      </c>
      <c r="J57" s="177">
        <f>'[6]Final prices'!J57*1000/'[6]Final income'!J57</f>
        <v>3.0118574814510986</v>
      </c>
      <c r="K57" s="177">
        <f>'[6]Final prices'!K57*1000/'[6]Final income'!K57</f>
        <v>2.9600276504070782</v>
      </c>
      <c r="L57" s="177">
        <f>'[6]Final prices'!L57*1000/'[6]Final income'!L57</f>
        <v>3.0246782915267638</v>
      </c>
      <c r="M57" s="177">
        <f>'[6]Final prices'!M57*1000/'[6]Final income'!M57</f>
        <v>3.3027760571597811</v>
      </c>
      <c r="N57" s="177">
        <f>'[6]Final prices'!N57*1000/'[6]Final income'!N57</f>
        <v>3.726109129400466</v>
      </c>
      <c r="O57" s="177">
        <f>'[6]Final prices'!O57*1000/'[6]Final income'!O57</f>
        <v>4.3066360525993455</v>
      </c>
      <c r="P57" s="177">
        <f>'[6]Final prices'!P57*1000/'[6]Final income'!P57</f>
        <v>4.4409749640339617</v>
      </c>
      <c r="Q57" s="177">
        <f>'[6]Final prices'!Q57*1000/'[6]Final income'!Q57</f>
        <v>4.8972094839086031</v>
      </c>
      <c r="R57" s="177">
        <f>'[6]Final prices'!R57*1000/'[6]Final income'!R57</f>
        <v>4.9820395146685241</v>
      </c>
      <c r="S57" s="177">
        <f>'[6]Final prices'!S57*1000/'[6]Final income'!S57</f>
        <v>4.8246870234515766</v>
      </c>
      <c r="T57" s="177">
        <f>'[6]Final prices'!T57*1000/'[6]Final income'!T57</f>
        <v>4.2481804656194404</v>
      </c>
      <c r="U57" s="177">
        <f>'[6]Final prices'!U57*1000/'[6]Final income'!U57</f>
        <v>3.84094777742926</v>
      </c>
      <c r="V57" s="177">
        <f>'[6]Final prices'!V57*1000/'[6]Final income'!V57</f>
        <v>3.9890766761574894</v>
      </c>
      <c r="W57" s="177">
        <f>'[6]Final prices'!W57*1000/'[6]Final income'!W57</f>
        <v>3.8773332278419246</v>
      </c>
    </row>
    <row r="58" spans="1:23">
      <c r="A58" s="65" t="s">
        <v>158</v>
      </c>
      <c r="B58" s="177">
        <f>'[6]Final prices'!B58*1000/'[6]Final income'!B58</f>
        <v>2.7738141166573493</v>
      </c>
      <c r="C58" s="177">
        <f>'[6]Final prices'!C58*1000/'[6]Final income'!C58</f>
        <v>2.6172097395196867</v>
      </c>
      <c r="D58" s="177">
        <f>'[6]Final prices'!D58*1000/'[6]Final income'!D58</f>
        <v>2.6721925500343064</v>
      </c>
      <c r="E58" s="177">
        <f>'[6]Final prices'!E58*1000/'[6]Final income'!E58</f>
        <v>2.6954375516697038</v>
      </c>
      <c r="F58" s="177">
        <f>'[6]Final prices'!F58*1000/'[6]Final income'!F58</f>
        <v>2.7741272879986272</v>
      </c>
      <c r="G58" s="177">
        <f>'[6]Final prices'!G58*1000/'[6]Final income'!G58</f>
        <v>2.5716627267093775</v>
      </c>
      <c r="H58" s="177">
        <f>'[6]Final prices'!H58*1000/'[6]Final income'!H58</f>
        <v>2.6569755097163306</v>
      </c>
      <c r="I58" s="177">
        <f>'[6]Final prices'!I58*1000/'[6]Final income'!I58</f>
        <v>2.5911265407661372</v>
      </c>
      <c r="J58" s="177">
        <f>'[6]Final prices'!J58*1000/'[6]Final income'!J58</f>
        <v>2.9553387984865709</v>
      </c>
      <c r="K58" s="177">
        <f>'[6]Final prices'!K58*1000/'[6]Final income'!K58</f>
        <v>3.0388719583599202</v>
      </c>
      <c r="L58" s="177">
        <f>'[6]Final prices'!L58*1000/'[6]Final income'!L58</f>
        <v>3.112417120136389</v>
      </c>
      <c r="M58" s="177">
        <f>'[6]Final prices'!M58*1000/'[6]Final income'!M58</f>
        <v>3.2478495763152129</v>
      </c>
      <c r="N58" s="177">
        <f>'[6]Final prices'!N58*1000/'[6]Final income'!N58</f>
        <v>3.3787986623101003</v>
      </c>
      <c r="O58" s="177">
        <f>'[6]Final prices'!O58*1000/'[6]Final income'!O58</f>
        <v>3.513744711944033</v>
      </c>
      <c r="P58" s="177">
        <f>'[6]Final prices'!P58*1000/'[6]Final income'!P58</f>
        <v>3.6190884472759501</v>
      </c>
      <c r="Q58" s="177">
        <f>'[6]Final prices'!Q58*1000/'[6]Final income'!Q58</f>
        <v>3.987047671196386</v>
      </c>
      <c r="R58" s="177">
        <f>'[6]Final prices'!R58*1000/'[6]Final income'!R58</f>
        <v>3.7946175288062145</v>
      </c>
      <c r="S58" s="177">
        <f>'[6]Final prices'!S58*1000/'[6]Final income'!S58</f>
        <v>3.3997442742369386</v>
      </c>
      <c r="T58" s="177">
        <f>'[6]Final prices'!T58*1000/'[6]Final income'!T58</f>
        <v>3.2525057181276527</v>
      </c>
      <c r="U58" s="177">
        <f>'[6]Final prices'!U58*1000/'[6]Final income'!U58</f>
        <v>3.386484494579189</v>
      </c>
      <c r="V58" s="177">
        <f>'[6]Final prices'!V58*1000/'[6]Final income'!V58</f>
        <v>3.4537900014751073</v>
      </c>
      <c r="W58" s="177">
        <f>'[6]Final prices'!W58*1000/'[6]Final income'!W58</f>
        <v>3.2450916590711016</v>
      </c>
    </row>
    <row r="59" spans="1:23">
      <c r="A59" s="65" t="s">
        <v>159</v>
      </c>
      <c r="B59" s="177">
        <f>'[6]Final prices'!B59*1000/'[6]Final income'!B59</f>
        <v>4.328526150360549</v>
      </c>
      <c r="C59" s="177">
        <f>'[6]Final prices'!C59*1000/'[6]Final income'!C59</f>
        <v>4.2040819936662395</v>
      </c>
      <c r="D59" s="177">
        <f>'[6]Final prices'!D59*1000/'[6]Final income'!D59</f>
        <v>4.2708580220259984</v>
      </c>
      <c r="E59" s="177">
        <f>'[6]Final prices'!E59*1000/'[6]Final income'!E59</f>
        <v>4.1459459599401134</v>
      </c>
      <c r="F59" s="177">
        <f>'[6]Final prices'!F59*1000/'[6]Final income'!F59</f>
        <v>4.0400125613414639</v>
      </c>
      <c r="G59" s="177">
        <f>'[6]Final prices'!G59*1000/'[6]Final income'!G59</f>
        <v>3.8051804686362605</v>
      </c>
      <c r="H59" s="177">
        <f>'[6]Final prices'!H59*1000/'[6]Final income'!H59</f>
        <v>3.6581817485996204</v>
      </c>
      <c r="I59" s="177">
        <f>'[6]Final prices'!I59*1000/'[6]Final income'!I59</f>
        <v>3.641577842079065</v>
      </c>
      <c r="J59" s="177">
        <f>'[6]Final prices'!J59*1000/'[6]Final income'!J59</f>
        <v>3.674657442358531</v>
      </c>
      <c r="K59" s="177">
        <f>'[6]Final prices'!K59*1000/'[6]Final income'!K59</f>
        <v>3.8676156350178328</v>
      </c>
      <c r="L59" s="177">
        <f>'[6]Final prices'!L59*1000/'[6]Final income'!L59</f>
        <v>4.3359014310568416</v>
      </c>
      <c r="M59" s="177">
        <f>'[6]Final prices'!M59*1000/'[6]Final income'!M59</f>
        <v>4.7371661179952085</v>
      </c>
      <c r="N59" s="177">
        <f>'[6]Final prices'!N59*1000/'[6]Final income'!N59</f>
        <v>5.4991037598372552</v>
      </c>
      <c r="O59" s="177">
        <f>'[6]Final prices'!O59*1000/'[6]Final income'!O59</f>
        <v>6.2387649546224235</v>
      </c>
      <c r="P59" s="177">
        <f>'[6]Final prices'!P59*1000/'[6]Final income'!P59</f>
        <v>6.8296824098210669</v>
      </c>
      <c r="Q59" s="177">
        <f>'[6]Final prices'!Q59*1000/'[6]Final income'!Q59</f>
        <v>7.6495608456538688</v>
      </c>
      <c r="R59" s="177">
        <f>'[6]Final prices'!R59*1000/'[6]Final income'!R59</f>
        <v>7.6875207431559227</v>
      </c>
      <c r="S59" s="177">
        <f>'[6]Final prices'!S59*1000/'[6]Final income'!S59</f>
        <v>7.3437970070535377</v>
      </c>
      <c r="T59" s="177">
        <f>'[6]Final prices'!T59*1000/'[6]Final income'!T59</f>
        <v>6.5086094029338559</v>
      </c>
      <c r="U59" s="177">
        <f>'[6]Final prices'!U59*1000/'[6]Final income'!U59</f>
        <v>5.837846173322168</v>
      </c>
      <c r="V59" s="177">
        <f>'[6]Final prices'!V59*1000/'[6]Final income'!V59</f>
        <v>6.093404013297838</v>
      </c>
      <c r="W59" s="177">
        <f>'[6]Final prices'!W59*1000/'[6]Final income'!W59</f>
        <v>5.7521451595080677</v>
      </c>
    </row>
    <row r="60" spans="1:23">
      <c r="A60" s="65" t="s">
        <v>160</v>
      </c>
      <c r="B60" s="177">
        <f>'[6]Final prices'!B60*1000/'[6]Final income'!B60</f>
        <v>2.8395463787728037</v>
      </c>
      <c r="C60" s="177">
        <f>'[6]Final prices'!C60*1000/'[6]Final income'!C60</f>
        <v>2.931231823203559</v>
      </c>
      <c r="D60" s="177">
        <f>'[6]Final prices'!D60*1000/'[6]Final income'!D60</f>
        <v>3.0490988832120536</v>
      </c>
      <c r="E60" s="177">
        <f>'[6]Final prices'!E60*1000/'[6]Final income'!E60</f>
        <v>3.1715147606158225</v>
      </c>
      <c r="F60" s="177">
        <f>'[6]Final prices'!F60*1000/'[6]Final income'!F60</f>
        <v>3.2336717465998297</v>
      </c>
      <c r="G60" s="177">
        <f>'[6]Final prices'!G60*1000/'[6]Final income'!G60</f>
        <v>3.4870905831404144</v>
      </c>
      <c r="H60" s="177">
        <f>'[6]Final prices'!H60*1000/'[6]Final income'!H60</f>
        <v>3.4435211652995923</v>
      </c>
      <c r="I60" s="177">
        <f>'[6]Final prices'!I60*1000/'[6]Final income'!I60</f>
        <v>3.4203937954084696</v>
      </c>
      <c r="J60" s="177">
        <f>'[6]Final prices'!J60*1000/'[6]Final income'!J60</f>
        <v>3.3409176715173166</v>
      </c>
      <c r="K60" s="177">
        <f>'[6]Final prices'!K60*1000/'[6]Final income'!K60</f>
        <v>3.4281284498273537</v>
      </c>
      <c r="L60" s="177">
        <f>'[6]Final prices'!L60*1000/'[6]Final income'!L60</f>
        <v>3.7280989483878266</v>
      </c>
      <c r="M60" s="177">
        <f>'[6]Final prices'!M60*1000/'[6]Final income'!M60</f>
        <v>4.1148045320210338</v>
      </c>
      <c r="N60" s="177">
        <f>'[6]Final prices'!N60*1000/'[6]Final income'!N60</f>
        <v>4.6875720093584432</v>
      </c>
      <c r="O60" s="177">
        <f>'[6]Final prices'!O60*1000/'[6]Final income'!O60</f>
        <v>5.3712611821647513</v>
      </c>
      <c r="P60" s="177">
        <f>'[6]Final prices'!P60*1000/'[6]Final income'!P60</f>
        <v>6.3701992245178225</v>
      </c>
      <c r="Q60" s="177">
        <f>'[6]Final prices'!Q60*1000/'[6]Final income'!Q60</f>
        <v>7.9558798155233434</v>
      </c>
      <c r="R60" s="177">
        <f>'[6]Final prices'!R60*1000/'[6]Final income'!R60</f>
        <v>7.1498558065808187</v>
      </c>
      <c r="S60" s="177">
        <f>'[6]Final prices'!S60*1000/'[6]Final income'!S60</f>
        <v>6.1009232286822206</v>
      </c>
      <c r="T60" s="177">
        <f>'[6]Final prices'!T60*1000/'[6]Final income'!T60</f>
        <v>4.8245502101941913</v>
      </c>
      <c r="U60" s="177">
        <f>'[6]Final prices'!U60*1000/'[6]Final income'!U60</f>
        <v>3.7699052091744112</v>
      </c>
      <c r="V60" s="177">
        <f>'[6]Final prices'!V60*1000/'[6]Final income'!V60</f>
        <v>3.7690482828199352</v>
      </c>
      <c r="W60" s="177">
        <f>'[6]Final prices'!W60*1000/'[6]Final income'!W60</f>
        <v>3.3586351231557736</v>
      </c>
    </row>
    <row r="61" spans="1:23">
      <c r="A61" s="65" t="s">
        <v>161</v>
      </c>
      <c r="B61" s="177">
        <f>'[6]Final prices'!B61*1000/'[6]Final income'!B61</f>
        <v>1.8952134655582704</v>
      </c>
      <c r="C61" s="177">
        <f>'[6]Final prices'!C61*1000/'[6]Final income'!C61</f>
        <v>1.9609844922101811</v>
      </c>
      <c r="D61" s="177">
        <f>'[6]Final prices'!D61*1000/'[6]Final income'!D61</f>
        <v>2.1486024237634411</v>
      </c>
      <c r="E61" s="177">
        <f>'[6]Final prices'!E61*1000/'[6]Final income'!E61</f>
        <v>2.1848596036628987</v>
      </c>
      <c r="F61" s="177">
        <f>'[6]Final prices'!F61*1000/'[6]Final income'!F61</f>
        <v>2.2071624228665483</v>
      </c>
      <c r="G61" s="177">
        <f>'[6]Final prices'!G61*1000/'[6]Final income'!G61</f>
        <v>2.3932955081153668</v>
      </c>
      <c r="H61" s="177">
        <f>'[6]Final prices'!H61*1000/'[6]Final income'!H61</f>
        <v>2.4414966249879484</v>
      </c>
      <c r="I61" s="177">
        <f>'[6]Final prices'!I61*1000/'[6]Final income'!I61</f>
        <v>2.2083937258469533</v>
      </c>
      <c r="J61" s="177">
        <f>'[6]Final prices'!J61*1000/'[6]Final income'!J61</f>
        <v>2.211380071029474</v>
      </c>
      <c r="K61" s="177">
        <f>'[6]Final prices'!K61*1000/'[6]Final income'!K61</f>
        <v>2.2694783611765974</v>
      </c>
      <c r="L61" s="177">
        <f>'[6]Final prices'!L61*1000/'[6]Final income'!L61</f>
        <v>2.2542174910022563</v>
      </c>
      <c r="M61" s="177">
        <f>'[6]Final prices'!M61*1000/'[6]Final income'!M61</f>
        <v>2.3908139439457874</v>
      </c>
      <c r="N61" s="177">
        <f>'[6]Final prices'!N61*1000/'[6]Final income'!N61</f>
        <v>2.4793507155580077</v>
      </c>
      <c r="O61" s="177">
        <f>'[6]Final prices'!O61*1000/'[6]Final income'!O61</f>
        <v>2.638793593782859</v>
      </c>
      <c r="P61" s="177">
        <f>'[6]Final prices'!P61*1000/'[6]Final income'!P61</f>
        <v>2.7083816083154511</v>
      </c>
      <c r="Q61" s="177">
        <f>'[6]Final prices'!Q61*1000/'[6]Final income'!Q61</f>
        <v>2.8210433831152644</v>
      </c>
      <c r="R61" s="177">
        <f>'[6]Final prices'!R61*1000/'[6]Final income'!R61</f>
        <v>2.9106826854836361</v>
      </c>
      <c r="S61" s="177">
        <f>'[6]Final prices'!S61*1000/'[6]Final income'!S61</f>
        <v>2.9108764329328074</v>
      </c>
      <c r="T61" s="177">
        <f>'[6]Final prices'!T61*1000/'[6]Final income'!T61</f>
        <v>2.7207195656129608</v>
      </c>
      <c r="U61" s="177">
        <f>'[6]Final prices'!U61*1000/'[6]Final income'!U61</f>
        <v>3.0609113278451048</v>
      </c>
      <c r="V61" s="177">
        <f>'[6]Final prices'!V61*1000/'[6]Final income'!V61</f>
        <v>3.0701242783824578</v>
      </c>
      <c r="W61" s="177">
        <f>'[6]Final prices'!W61*1000/'[6]Final income'!W61</f>
        <v>2.0923325559507977</v>
      </c>
    </row>
    <row r="62" spans="1:23">
      <c r="A62" s="65" t="s">
        <v>162</v>
      </c>
      <c r="B62" s="177">
        <f>'[6]Final prices'!B62*1000/'[6]Final income'!B62</f>
        <v>2.0084194425531008</v>
      </c>
      <c r="C62" s="177">
        <f>'[6]Final prices'!C62*1000/'[6]Final income'!C62</f>
        <v>1.9760319970415043</v>
      </c>
      <c r="D62" s="177">
        <f>'[6]Final prices'!D62*1000/'[6]Final income'!D62</f>
        <v>2.0328348614696297</v>
      </c>
      <c r="E62" s="177">
        <f>'[6]Final prices'!E62*1000/'[6]Final income'!E62</f>
        <v>2.0443874129953361</v>
      </c>
      <c r="F62" s="177">
        <f>'[6]Final prices'!F62*1000/'[6]Final income'!F62</f>
        <v>2.0595854093537564</v>
      </c>
      <c r="G62" s="177">
        <f>'[6]Final prices'!G62*1000/'[6]Final income'!G62</f>
        <v>2.1605142733482938</v>
      </c>
      <c r="H62" s="177">
        <f>'[6]Final prices'!H62*1000/'[6]Final income'!H62</f>
        <v>2.2543595802155507</v>
      </c>
      <c r="I62" s="177">
        <f>'[6]Final prices'!I62*1000/'[6]Final income'!I62</f>
        <v>2.3378348005340666</v>
      </c>
      <c r="J62" s="177">
        <f>'[6]Final prices'!J62*1000/'[6]Final income'!J62</f>
        <v>2.4311478449097907</v>
      </c>
      <c r="K62" s="177">
        <f>'[6]Final prices'!K62*1000/'[6]Final income'!K62</f>
        <v>2.4444307537336218</v>
      </c>
      <c r="L62" s="177">
        <f>'[6]Final prices'!L62*1000/'[6]Final income'!L62</f>
        <v>2.5410406207331389</v>
      </c>
      <c r="M62" s="177">
        <f>'[6]Final prices'!M62*1000/'[6]Final income'!M62</f>
        <v>2.567802836657691</v>
      </c>
      <c r="N62" s="177">
        <f>'[6]Final prices'!N62*1000/'[6]Final income'!N62</f>
        <v>2.6638665923836533</v>
      </c>
      <c r="O62" s="177">
        <f>'[6]Final prices'!O62*1000/'[6]Final income'!O62</f>
        <v>2.6878364547628442</v>
      </c>
      <c r="P62" s="177">
        <f>'[6]Final prices'!P62*1000/'[6]Final income'!P62</f>
        <v>2.7953902388015464</v>
      </c>
      <c r="Q62" s="177">
        <f>'[6]Final prices'!Q62*1000/'[6]Final income'!Q62</f>
        <v>2.7706311005002817</v>
      </c>
      <c r="R62" s="177">
        <f>'[6]Final prices'!R62*1000/'[6]Final income'!R62</f>
        <v>2.7133240757168018</v>
      </c>
      <c r="S62" s="177">
        <f>'[6]Final prices'!S62*1000/'[6]Final income'!S62</f>
        <v>2.6029328988132892</v>
      </c>
      <c r="T62" s="177">
        <f>'[6]Final prices'!T62*1000/'[6]Final income'!T62</f>
        <v>2.4183633265446129</v>
      </c>
      <c r="U62" s="177">
        <f>'[6]Final prices'!U62*1000/'[6]Final income'!U62</f>
        <v>2.5135408806781103</v>
      </c>
      <c r="V62" s="177">
        <f>'[6]Final prices'!V62*1000/'[6]Final income'!V62</f>
        <v>2.5498879328681201</v>
      </c>
      <c r="W62" s="177">
        <f>'[6]Final prices'!W62*1000/'[6]Final income'!W62</f>
        <v>2.4064169655718182</v>
      </c>
    </row>
    <row r="63" spans="1:23">
      <c r="A63" s="65" t="s">
        <v>163</v>
      </c>
      <c r="B63" s="177">
        <f>'[6]Final prices'!B63*1000/'[6]Final income'!B63</f>
        <v>2.6527115260859282</v>
      </c>
      <c r="C63" s="177">
        <f>'[6]Final prices'!C63*1000/'[6]Final income'!C63</f>
        <v>2.7171019517002977</v>
      </c>
      <c r="D63" s="177">
        <f>'[6]Final prices'!D63*1000/'[6]Final income'!D63</f>
        <v>2.7510942931548765</v>
      </c>
      <c r="E63" s="177">
        <f>'[6]Final prices'!E63*1000/'[6]Final income'!E63</f>
        <v>2.7172394702446447</v>
      </c>
      <c r="F63" s="177">
        <f>'[6]Final prices'!F63*1000/'[6]Final income'!F63</f>
        <v>2.6668082985898498</v>
      </c>
      <c r="G63" s="177">
        <f>'[6]Final prices'!G63*1000/'[6]Final income'!G63</f>
        <v>2.5786466478453902</v>
      </c>
      <c r="H63" s="177">
        <f>'[6]Final prices'!H63*1000/'[6]Final income'!H63</f>
        <v>2.5812272060597863</v>
      </c>
      <c r="I63" s="177">
        <f>'[6]Final prices'!I63*1000/'[6]Final income'!I63</f>
        <v>2.496480476008256</v>
      </c>
      <c r="J63" s="177">
        <f>'[6]Final prices'!J63*1000/'[6]Final income'!J63</f>
        <v>2.4169148312304993</v>
      </c>
      <c r="K63" s="177">
        <f>'[6]Final prices'!K63*1000/'[6]Final income'!K63</f>
        <v>2.5100905161090012</v>
      </c>
      <c r="L63" s="177">
        <f>'[6]Final prices'!L63*1000/'[6]Final income'!L63</f>
        <v>2.6286722994560821</v>
      </c>
      <c r="M63" s="177">
        <f>'[6]Final prices'!M63*1000/'[6]Final income'!M63</f>
        <v>2.8961717228012702</v>
      </c>
      <c r="N63" s="177">
        <f>'[6]Final prices'!N63*1000/'[6]Final income'!N63</f>
        <v>3.1339659202174031</v>
      </c>
      <c r="O63" s="177">
        <f>'[6]Final prices'!O63*1000/'[6]Final income'!O63</f>
        <v>3.3657387712879574</v>
      </c>
      <c r="P63" s="177">
        <f>'[6]Final prices'!P63*1000/'[6]Final income'!P63</f>
        <v>3.8851185578367646</v>
      </c>
      <c r="Q63" s="177">
        <f>'[6]Final prices'!Q63*1000/'[6]Final income'!Q63</f>
        <v>5.2901782631932557</v>
      </c>
      <c r="R63" s="177">
        <f>'[6]Final prices'!R63*1000/'[6]Final income'!R63</f>
        <v>5.5894496060810379</v>
      </c>
      <c r="S63" s="177">
        <f>'[6]Final prices'!S63*1000/'[6]Final income'!S63</f>
        <v>5.1461383732301336</v>
      </c>
      <c r="T63" s="177">
        <f>'[6]Final prices'!T63*1000/'[6]Final income'!T63</f>
        <v>4.1723923496563087</v>
      </c>
      <c r="U63" s="177">
        <f>'[6]Final prices'!U63*1000/'[6]Final income'!U63</f>
        <v>3.1901711288940033</v>
      </c>
      <c r="V63" s="177">
        <f>'[6]Final prices'!V63*1000/'[6]Final income'!V63</f>
        <v>2.8877661772787571</v>
      </c>
      <c r="W63" s="177">
        <f>'[6]Final prices'!W63*1000/'[6]Final income'!W63</f>
        <v>2.6298331186939574</v>
      </c>
    </row>
    <row r="64" spans="1:23">
      <c r="A64" s="65" t="s">
        <v>164</v>
      </c>
      <c r="B64" s="177">
        <f>'[6]Final prices'!B64*1000/'[6]Final income'!B64</f>
        <v>2.2822911924874614</v>
      </c>
      <c r="C64" s="177">
        <f>'[6]Final prices'!C64*1000/'[6]Final income'!C64</f>
        <v>2.3286596834108413</v>
      </c>
      <c r="D64" s="177">
        <f>'[6]Final prices'!D64*1000/'[6]Final income'!D64</f>
        <v>2.334112608855937</v>
      </c>
      <c r="E64" s="177">
        <f>'[6]Final prices'!E64*1000/'[6]Final income'!E64</f>
        <v>2.3432125727068565</v>
      </c>
      <c r="F64" s="177">
        <f>'[6]Final prices'!F64*1000/'[6]Final income'!F64</f>
        <v>2.3182302991889046</v>
      </c>
      <c r="G64" s="177">
        <f>'[6]Final prices'!G64*1000/'[6]Final income'!G64</f>
        <v>2.3411913073142765</v>
      </c>
      <c r="H64" s="177">
        <f>'[6]Final prices'!H64*1000/'[6]Final income'!H64</f>
        <v>2.3128725492397351</v>
      </c>
      <c r="I64" s="177">
        <f>'[6]Final prices'!I64*1000/'[6]Final income'!I64</f>
        <v>2.2864017056844723</v>
      </c>
      <c r="J64" s="177">
        <f>'[6]Final prices'!J64*1000/'[6]Final income'!J64</f>
        <v>2.2472812101809261</v>
      </c>
      <c r="K64" s="177">
        <f>'[6]Final prices'!K64*1000/'[6]Final income'!K64</f>
        <v>2.1677597758048828</v>
      </c>
      <c r="L64" s="177">
        <f>'[6]Final prices'!L64*1000/'[6]Final income'!L64</f>
        <v>2.2751806724627417</v>
      </c>
      <c r="M64" s="177">
        <f>'[6]Final prices'!M64*1000/'[6]Final income'!M64</f>
        <v>2.2750633709680468</v>
      </c>
      <c r="N64" s="177">
        <f>'[6]Final prices'!N64*1000/'[6]Final income'!N64</f>
        <v>2.5342390215910404</v>
      </c>
      <c r="O64" s="177">
        <f>'[6]Final prices'!O64*1000/'[6]Final income'!O64</f>
        <v>2.9221692646699542</v>
      </c>
      <c r="P64" s="177">
        <f>'[6]Final prices'!P64*1000/'[6]Final income'!P64</f>
        <v>3.4383512499520865</v>
      </c>
      <c r="Q64" s="177">
        <f>'[6]Final prices'!Q64*1000/'[6]Final income'!Q64</f>
        <v>4.5130607693036575</v>
      </c>
      <c r="R64" s="177">
        <f>'[6]Final prices'!R64*1000/'[6]Final income'!R64</f>
        <v>4.2643722537287543</v>
      </c>
      <c r="S64" s="177">
        <f>'[6]Final prices'!S64*1000/'[6]Final income'!S64</f>
        <v>3.6029933361815787</v>
      </c>
      <c r="T64" s="177">
        <f>'[6]Final prices'!T64*1000/'[6]Final income'!T64</f>
        <v>2.9153256944946904</v>
      </c>
      <c r="U64" s="177">
        <f>'[6]Final prices'!U64*1000/'[6]Final income'!U64</f>
        <v>2.316631801565491</v>
      </c>
      <c r="V64" s="177">
        <f>'[6]Final prices'!V64*1000/'[6]Final income'!V64</f>
        <v>2.2518263588518947</v>
      </c>
      <c r="W64" s="177">
        <f>'[6]Final prices'!W64*1000/'[6]Final income'!W64</f>
        <v>2.220063078891179</v>
      </c>
    </row>
    <row r="65" spans="1:23">
      <c r="A65" s="65" t="s">
        <v>165</v>
      </c>
      <c r="B65" s="177">
        <f>'[6]Final prices'!B65*1000/'[6]Final income'!B65</f>
        <v>2.9609046390146614</v>
      </c>
      <c r="C65" s="177">
        <f>'[6]Final prices'!C65*1000/'[6]Final income'!C65</f>
        <v>2.9714943096571815</v>
      </c>
      <c r="D65" s="177">
        <f>'[6]Final prices'!D65*1000/'[6]Final income'!D65</f>
        <v>3.0247831555032123</v>
      </c>
      <c r="E65" s="177">
        <f>'[6]Final prices'!E65*1000/'[6]Final income'!E65</f>
        <v>2.9102379223030241</v>
      </c>
      <c r="F65" s="177">
        <f>'[6]Final prices'!F65*1000/'[6]Final income'!F65</f>
        <v>2.859640241783473</v>
      </c>
      <c r="G65" s="177">
        <f>'[6]Final prices'!G65*1000/'[6]Final income'!G65</f>
        <v>2.672581501869244</v>
      </c>
      <c r="H65" s="177" t="s">
        <v>25</v>
      </c>
      <c r="I65" s="177" t="s">
        <v>25</v>
      </c>
      <c r="J65" s="177">
        <f>'[6]Final prices'!J65*1000/'[6]Final income'!J65</f>
        <v>2.5523712207893072</v>
      </c>
      <c r="K65" s="177">
        <f>'[6]Final prices'!K65*1000/'[6]Final income'!K65</f>
        <v>2.4856779749863338</v>
      </c>
      <c r="L65" s="177">
        <f>'[6]Final prices'!L65*1000/'[6]Final income'!L65</f>
        <v>2.4302119733937442</v>
      </c>
      <c r="M65" s="177">
        <f>'[6]Final prices'!M65*1000/'[6]Final income'!M65</f>
        <v>2.6013063745053437</v>
      </c>
      <c r="N65" s="177">
        <f>'[6]Final prices'!N65*1000/'[6]Final income'!N65</f>
        <v>2.8370750032198786</v>
      </c>
      <c r="O65" s="177">
        <f>'[6]Final prices'!O65*1000/'[6]Final income'!O65</f>
        <v>3.2398799681886321</v>
      </c>
      <c r="P65" s="177">
        <f>'[6]Final prices'!P65*1000/'[6]Final income'!P65</f>
        <v>3.4548753547398148</v>
      </c>
      <c r="Q65" s="177">
        <f>'[6]Final prices'!Q65*1000/'[6]Final income'!Q65</f>
        <v>3.8670866611227015</v>
      </c>
      <c r="R65" s="177">
        <f>'[6]Final prices'!R65*1000/'[6]Final income'!R65</f>
        <v>4.0238650938771938</v>
      </c>
      <c r="S65" s="177">
        <f>'[6]Final prices'!S65*1000/'[6]Final income'!S65</f>
        <v>3.9220557321980927</v>
      </c>
      <c r="T65" s="177">
        <f>'[6]Final prices'!T65*1000/'[6]Final income'!T65</f>
        <v>3.6418274469266372</v>
      </c>
      <c r="U65" s="177">
        <f>'[6]Final prices'!U65*1000/'[6]Final income'!U65</f>
        <v>3.5079513829786091</v>
      </c>
      <c r="V65" s="177">
        <f>'[6]Final prices'!V65*1000/'[6]Final income'!V65</f>
        <v>3.6377662359918186</v>
      </c>
      <c r="W65" s="177">
        <f>'[6]Final prices'!W65*1000/'[6]Final income'!W65</f>
        <v>3.3619536610038985</v>
      </c>
    </row>
    <row r="66" spans="1:23">
      <c r="A66" s="65" t="s">
        <v>166</v>
      </c>
      <c r="B66" s="177">
        <f>'[6]Final prices'!B66*1000/'[6]Final income'!B66</f>
        <v>2.6564369308652247</v>
      </c>
      <c r="C66" s="177">
        <f>'[6]Final prices'!C66*1000/'[6]Final income'!C66</f>
        <v>2.533502778390758</v>
      </c>
      <c r="D66" s="177">
        <f>'[6]Final prices'!D66*1000/'[6]Final income'!D66</f>
        <v>2.6523720440896796</v>
      </c>
      <c r="E66" s="177">
        <f>'[6]Final prices'!E66*1000/'[6]Final income'!E66</f>
        <v>2.5820566241610683</v>
      </c>
      <c r="F66" s="177">
        <f>'[6]Final prices'!F66*1000/'[6]Final income'!F66</f>
        <v>2.5529885319333543</v>
      </c>
      <c r="G66" s="177">
        <f>'[6]Final prices'!G66*1000/'[6]Final income'!G66</f>
        <v>2.6911247147962061</v>
      </c>
      <c r="H66" s="177">
        <f>'[6]Final prices'!H66*1000/'[6]Final income'!H66</f>
        <v>2.8373252905158255</v>
      </c>
      <c r="I66" s="177">
        <f>'[6]Final prices'!I66*1000/'[6]Final income'!I66</f>
        <v>2.9204349507126404</v>
      </c>
      <c r="J66" s="177">
        <f>'[6]Final prices'!J66*1000/'[6]Final income'!J66</f>
        <v>2.7012595690210022</v>
      </c>
      <c r="K66" s="177">
        <f>'[6]Final prices'!K66*1000/'[6]Final income'!K66</f>
        <v>2.8211029674651411</v>
      </c>
      <c r="L66" s="177">
        <f>'[6]Final prices'!L66*1000/'[6]Final income'!L66</f>
        <v>2.9856148574969392</v>
      </c>
      <c r="M66" s="177">
        <f>'[6]Final prices'!M66*1000/'[6]Final income'!M66</f>
        <v>3.0827054552709883</v>
      </c>
      <c r="N66" s="177">
        <f>'[6]Final prices'!N66*1000/'[6]Final income'!N66</f>
        <v>3.1701132815214641</v>
      </c>
      <c r="O66" s="177">
        <f>'[6]Final prices'!O66*1000/'[6]Final income'!O66</f>
        <v>3.3925984471775634</v>
      </c>
      <c r="P66" s="177">
        <f>'[6]Final prices'!P66*1000/'[6]Final income'!P66</f>
        <v>3.6547097191429061</v>
      </c>
      <c r="Q66" s="177">
        <f>'[6]Final prices'!Q66*1000/'[6]Final income'!Q66</f>
        <v>5.0338449298909644</v>
      </c>
      <c r="R66" s="177">
        <f>'[6]Final prices'!R66*1000/'[6]Final income'!R66</f>
        <v>5.1825003522374633</v>
      </c>
      <c r="S66" s="177">
        <f>'[6]Final prices'!S66*1000/'[6]Final income'!S66</f>
        <v>4.7092087472470823</v>
      </c>
      <c r="T66" s="177">
        <f>'[6]Final prices'!T66*1000/'[6]Final income'!T66</f>
        <v>3.4472796620508355</v>
      </c>
      <c r="U66" s="177">
        <f>'[6]Final prices'!U66*1000/'[6]Final income'!U66</f>
        <v>2.5674676294042769</v>
      </c>
      <c r="V66" s="177">
        <f>'[6]Final prices'!V66*1000/'[6]Final income'!V66</f>
        <v>2.7349402522058726</v>
      </c>
      <c r="W66" s="177">
        <f>'[6]Final prices'!W66*1000/'[6]Final income'!W66</f>
        <v>2.2960680377156146</v>
      </c>
    </row>
    <row r="67" spans="1:23">
      <c r="A67" s="65" t="s">
        <v>167</v>
      </c>
      <c r="B67" s="177">
        <f>'[6]Final prices'!B67*1000/'[6]Final income'!B67</f>
        <v>2.5874692143285101</v>
      </c>
      <c r="C67" s="177">
        <f>'[6]Final prices'!C67*1000/'[6]Final income'!C67</f>
        <v>2.5852761925955208</v>
      </c>
      <c r="D67" s="177">
        <f>'[6]Final prices'!D67*1000/'[6]Final income'!D67</f>
        <v>2.7852534351157598</v>
      </c>
      <c r="E67" s="177">
        <f>'[6]Final prices'!E67*1000/'[6]Final income'!E67</f>
        <v>2.7862004021031561</v>
      </c>
      <c r="F67" s="177">
        <f>'[6]Final prices'!F67*1000/'[6]Final income'!F67</f>
        <v>2.6407391127465121</v>
      </c>
      <c r="G67" s="177">
        <f>'[6]Final prices'!G67*1000/'[6]Final income'!G67</f>
        <v>2.4694351442002751</v>
      </c>
      <c r="H67" s="177">
        <f>'[6]Final prices'!H67*1000/'[6]Final income'!H67</f>
        <v>2.5179990080207277</v>
      </c>
      <c r="I67" s="177">
        <f>'[6]Final prices'!I67*1000/'[6]Final income'!I67</f>
        <v>2.38577715335148</v>
      </c>
      <c r="J67" s="177">
        <f>'[6]Final prices'!J67*1000/'[6]Final income'!J67</f>
        <v>2.363301981717115</v>
      </c>
      <c r="K67" s="177">
        <f>'[6]Final prices'!K67*1000/'[6]Final income'!K67</f>
        <v>2.4185467374970639</v>
      </c>
      <c r="L67" s="177">
        <f>'[6]Final prices'!L67*1000/'[6]Final income'!L67</f>
        <v>2.4868108753864546</v>
      </c>
      <c r="M67" s="177">
        <f>'[6]Final prices'!M67*1000/'[6]Final income'!M67</f>
        <v>2.5728173233635152</v>
      </c>
      <c r="N67" s="177">
        <f>'[6]Final prices'!N67*1000/'[6]Final income'!N67</f>
        <v>2.6462886489616015</v>
      </c>
      <c r="O67" s="177">
        <f>'[6]Final prices'!O67*1000/'[6]Final income'!O67</f>
        <v>2.7403611742135787</v>
      </c>
      <c r="P67" s="177">
        <f>'[6]Final prices'!P67*1000/'[6]Final income'!P67</f>
        <v>2.7496226351706601</v>
      </c>
      <c r="Q67" s="177">
        <f>'[6]Final prices'!Q67*1000/'[6]Final income'!Q67</f>
        <v>2.7707501542047259</v>
      </c>
      <c r="R67" s="177">
        <f>'[6]Final prices'!R67*1000/'[6]Final income'!R67</f>
        <v>2.6723162425771569</v>
      </c>
      <c r="S67" s="177">
        <f>'[6]Final prices'!S67*1000/'[6]Final income'!S67</f>
        <v>2.6396533472890273</v>
      </c>
      <c r="T67" s="177">
        <f>'[6]Final prices'!T67*1000/'[6]Final income'!T67</f>
        <v>2.4709261214603511</v>
      </c>
      <c r="U67" s="177">
        <f>'[6]Final prices'!U67*1000/'[6]Final income'!U67</f>
        <v>2.5172105570871874</v>
      </c>
      <c r="V67" s="177">
        <f>'[6]Final prices'!V67*1000/'[6]Final income'!V67</f>
        <v>2.6136753646805699</v>
      </c>
      <c r="W67" s="177" t="s">
        <v>25</v>
      </c>
    </row>
    <row r="68" spans="1:23">
      <c r="A68" s="65" t="s">
        <v>168</v>
      </c>
      <c r="B68" s="177">
        <f>'[6]Final prices'!B68*1000/'[6]Final income'!B68</f>
        <v>2.4140530012169887</v>
      </c>
      <c r="C68" s="177">
        <f>'[6]Final prices'!C68*1000/'[6]Final income'!C68</f>
        <v>2.5951549094850255</v>
      </c>
      <c r="D68" s="177">
        <f>'[6]Final prices'!D68*1000/'[6]Final income'!D68</f>
        <v>2.6911504429388615</v>
      </c>
      <c r="E68" s="177">
        <f>'[6]Final prices'!E68*1000/'[6]Final income'!E68</f>
        <v>2.782141559788696</v>
      </c>
      <c r="F68" s="177">
        <f>'[6]Final prices'!F68*1000/'[6]Final income'!F68</f>
        <v>3.2338804478339713</v>
      </c>
      <c r="G68" s="177">
        <f>'[6]Final prices'!G68*1000/'[6]Final income'!G68</f>
        <v>3.0776115548596983</v>
      </c>
      <c r="H68" s="177">
        <f>'[6]Final prices'!H68*1000/'[6]Final income'!H68</f>
        <v>3.4464049810017934</v>
      </c>
      <c r="I68" s="177">
        <f>'[6]Final prices'!I68*1000/'[6]Final income'!I68</f>
        <v>3.4292384081224974</v>
      </c>
      <c r="J68" s="177">
        <f>'[6]Final prices'!J68*1000/'[6]Final income'!J68</f>
        <v>3.3709494416159305</v>
      </c>
      <c r="K68" s="177">
        <f>'[6]Final prices'!K68*1000/'[6]Final income'!K68</f>
        <v>3.4442080619513846</v>
      </c>
      <c r="L68" s="177">
        <f>'[6]Final prices'!L68*1000/'[6]Final income'!L68</f>
        <v>3.5569141711744865</v>
      </c>
      <c r="M68" s="177">
        <f>'[6]Final prices'!M68*1000/'[6]Final income'!M68</f>
        <v>3.6035253515323897</v>
      </c>
      <c r="N68" s="177">
        <f>'[6]Final prices'!N68*1000/'[6]Final income'!N68</f>
        <v>3.7844411550161308</v>
      </c>
      <c r="O68" s="177">
        <f>'[6]Final prices'!O68*1000/'[6]Final income'!O68</f>
        <v>4.0128358016809909</v>
      </c>
      <c r="P68" s="177">
        <f>'[6]Final prices'!P68*1000/'[6]Final income'!P68</f>
        <v>4.2655835371682889</v>
      </c>
      <c r="Q68" s="177">
        <f>'[6]Final prices'!Q68*1000/'[6]Final income'!Q68</f>
        <v>4.9181330756877149</v>
      </c>
      <c r="R68" s="177">
        <f>'[6]Final prices'!R68*1000/'[6]Final income'!R68</f>
        <v>5.3245187528798059</v>
      </c>
      <c r="S68" s="177">
        <f>'[6]Final prices'!S68*1000/'[6]Final income'!S68</f>
        <v>5.3137644216746818</v>
      </c>
      <c r="T68" s="177">
        <f>'[6]Final prices'!T68*1000/'[6]Final income'!T68</f>
        <v>4.830828925844262</v>
      </c>
      <c r="U68" s="177">
        <f>'[6]Final prices'!U68*1000/'[6]Final income'!U68</f>
        <v>4.3686253478239507</v>
      </c>
      <c r="V68" s="177">
        <f>'[6]Final prices'!V68*1000/'[6]Final income'!V68</f>
        <v>4.3916080344306883</v>
      </c>
      <c r="W68" s="177">
        <f>'[6]Final prices'!W68*1000/'[6]Final income'!W68</f>
        <v>3.9828810258475151</v>
      </c>
    </row>
    <row r="69" spans="1:23">
      <c r="A69" s="65" t="s">
        <v>169</v>
      </c>
      <c r="B69" s="177">
        <f>'[6]Final prices'!B69*1000/'[6]Final income'!B69</f>
        <v>4.0476297368136747</v>
      </c>
      <c r="C69" s="177">
        <f>'[6]Final prices'!C69*1000/'[6]Final income'!C69</f>
        <v>4.0580141543286778</v>
      </c>
      <c r="D69" s="177">
        <f>'[6]Final prices'!D69*1000/'[6]Final income'!D69</f>
        <v>3.8847444259008612</v>
      </c>
      <c r="E69" s="177">
        <f>'[6]Final prices'!E69*1000/'[6]Final income'!E69</f>
        <v>3.5497220402320893</v>
      </c>
      <c r="F69" s="177">
        <f>'[6]Final prices'!F69*1000/'[6]Final income'!F69</f>
        <v>3.5557449255271218</v>
      </c>
      <c r="G69" s="177">
        <f>'[6]Final prices'!G69*1000/'[6]Final income'!G69</f>
        <v>3.356495122196514</v>
      </c>
      <c r="H69" s="177">
        <f>'[6]Final prices'!H69*1000/'[6]Final income'!H69</f>
        <v>3.2975226177964712</v>
      </c>
      <c r="I69" s="177">
        <f>'[6]Final prices'!I69*1000/'[6]Final income'!I69</f>
        <v>3.4067575846980729</v>
      </c>
      <c r="J69" s="177">
        <f>'[6]Final prices'!J69*1000/'[6]Final income'!J69</f>
        <v>3.1902487784728564</v>
      </c>
      <c r="K69" s="177">
        <f>'[6]Final prices'!K69*1000/'[6]Final income'!K69</f>
        <v>3.1809309744153582</v>
      </c>
      <c r="L69" s="177">
        <f>'[6]Final prices'!L69*1000/'[6]Final income'!L69</f>
        <v>3.3004892412716793</v>
      </c>
      <c r="M69" s="177">
        <f>'[6]Final prices'!M69*1000/'[6]Final income'!M69</f>
        <v>3.6606209167236869</v>
      </c>
      <c r="N69" s="177">
        <f>'[6]Final prices'!N69*1000/'[6]Final income'!N69</f>
        <v>4.3603847944907432</v>
      </c>
      <c r="O69" s="177">
        <f>'[6]Final prices'!O69*1000/'[6]Final income'!O69</f>
        <v>5.017564703037861</v>
      </c>
      <c r="P69" s="177">
        <f>'[6]Final prices'!P69*1000/'[6]Final income'!P69</f>
        <v>5.6326189370988979</v>
      </c>
      <c r="Q69" s="177">
        <f>'[6]Final prices'!Q69*1000/'[6]Final income'!Q69</f>
        <v>5.7065010229205493</v>
      </c>
      <c r="R69" s="177">
        <f>'[6]Final prices'!R69*1000/'[6]Final income'!R69</f>
        <v>5.5726218627072219</v>
      </c>
      <c r="S69" s="177">
        <f>'[6]Final prices'!S69*1000/'[6]Final income'!S69</f>
        <v>5.2708555320355668</v>
      </c>
      <c r="T69" s="177">
        <f>'[6]Final prices'!T69*1000/'[6]Final income'!T69</f>
        <v>4.4634358257656546</v>
      </c>
      <c r="U69" s="177">
        <f>'[6]Final prices'!U69*1000/'[6]Final income'!U69</f>
        <v>3.9714263324939592</v>
      </c>
      <c r="V69" s="177">
        <f>'[6]Final prices'!V69*1000/'[6]Final income'!V69</f>
        <v>4.2774996061857777</v>
      </c>
      <c r="W69" s="177">
        <f>'[6]Final prices'!W69*1000/'[6]Final income'!W69</f>
        <v>4.0730266003515432</v>
      </c>
    </row>
    <row r="70" spans="1:23">
      <c r="A70" s="65" t="s">
        <v>170</v>
      </c>
      <c r="B70" s="177">
        <f>'[6]Final prices'!B70*1000/'[6]Final income'!B70</f>
        <v>2.8818478685190341</v>
      </c>
      <c r="C70" s="177">
        <f>'[6]Final prices'!C70*1000/'[6]Final income'!C70</f>
        <v>2.6234962118359713</v>
      </c>
      <c r="D70" s="177">
        <f>'[6]Final prices'!D70*1000/'[6]Final income'!D70</f>
        <v>2.610880133681321</v>
      </c>
      <c r="E70" s="177">
        <f>'[6]Final prices'!E70*1000/'[6]Final income'!E70</f>
        <v>2.5456834812513582</v>
      </c>
      <c r="F70" s="177">
        <f>'[6]Final prices'!F70*1000/'[6]Final income'!F70</f>
        <v>2.5847207364747762</v>
      </c>
      <c r="G70" s="177">
        <f>'[6]Final prices'!G70*1000/'[6]Final income'!G70</f>
        <v>2.6431746374758118</v>
      </c>
      <c r="H70" s="177">
        <f>'[6]Final prices'!H70*1000/'[6]Final income'!H70</f>
        <v>2.704812622357232</v>
      </c>
      <c r="I70" s="177">
        <f>'[6]Final prices'!I70*1000/'[6]Final income'!I70</f>
        <v>2.8082138460176207</v>
      </c>
      <c r="J70" s="177">
        <f>'[6]Final prices'!J70*1000/'[6]Final income'!J70</f>
        <v>2.930051471169095</v>
      </c>
      <c r="K70" s="177">
        <f>'[6]Final prices'!K70*1000/'[6]Final income'!K70</f>
        <v>2.9657212459428055</v>
      </c>
      <c r="L70" s="177">
        <f>'[6]Final prices'!L70*1000/'[6]Final income'!L70</f>
        <v>2.9664815342611335</v>
      </c>
      <c r="M70" s="177">
        <f>'[6]Final prices'!M70*1000/'[6]Final income'!M70</f>
        <v>3.0091659564566471</v>
      </c>
      <c r="N70" s="177">
        <f>'[6]Final prices'!N70*1000/'[6]Final income'!N70</f>
        <v>3.1520027755352538</v>
      </c>
      <c r="O70" s="177">
        <f>'[6]Final prices'!O70*1000/'[6]Final income'!O70</f>
        <v>3.1845216934809106</v>
      </c>
      <c r="P70" s="177">
        <f>'[6]Final prices'!P70*1000/'[6]Final income'!P70</f>
        <v>3.2457760013403716</v>
      </c>
      <c r="Q70" s="177">
        <f>'[6]Final prices'!Q70*1000/'[6]Final income'!Q70</f>
        <v>3.5941630920735563</v>
      </c>
      <c r="R70" s="177">
        <f>'[6]Final prices'!R70*1000/'[6]Final income'!R70</f>
        <v>3.7744122488858953</v>
      </c>
      <c r="S70" s="177">
        <f>'[6]Final prices'!S70*1000/'[6]Final income'!S70</f>
        <v>3.915783084752531</v>
      </c>
      <c r="T70" s="177">
        <f>'[6]Final prices'!T70*1000/'[6]Final income'!T70</f>
        <v>3.6608239489967174</v>
      </c>
      <c r="U70" s="177">
        <f>'[6]Final prices'!U70*1000/'[6]Final income'!U70</f>
        <v>3.7222783993343951</v>
      </c>
      <c r="V70" s="177">
        <f>'[6]Final prices'!V70*1000/'[6]Final income'!V70</f>
        <v>3.8583576442897578</v>
      </c>
      <c r="W70" s="177">
        <f>'[6]Final prices'!W70*1000/'[6]Final income'!W70</f>
        <v>3.9203335304455407</v>
      </c>
    </row>
    <row r="71" spans="1:23">
      <c r="A71" s="65" t="s">
        <v>171</v>
      </c>
      <c r="B71" s="177">
        <f>'[6]Final prices'!B71*1000/'[6]Final income'!B71</f>
        <v>2.5401632777085354</v>
      </c>
      <c r="C71" s="177">
        <f>'[6]Final prices'!C71*1000/'[6]Final income'!C71</f>
        <v>2.5716659530538672</v>
      </c>
      <c r="D71" s="177">
        <f>'[6]Final prices'!D71*1000/'[6]Final income'!D71</f>
        <v>2.4776459092551661</v>
      </c>
      <c r="E71" s="177">
        <f>'[6]Final prices'!E71*1000/'[6]Final income'!E71</f>
        <v>2.5609793365263358</v>
      </c>
      <c r="F71" s="177">
        <f>'[6]Final prices'!F71*1000/'[6]Final income'!F71</f>
        <v>2.5061934799104058</v>
      </c>
      <c r="G71" s="177">
        <f>'[6]Final prices'!G71*1000/'[6]Final income'!G71</f>
        <v>2.7908372439923097</v>
      </c>
      <c r="H71" s="177">
        <f>'[6]Final prices'!H71*1000/'[6]Final income'!H71</f>
        <v>2.6965213095676273</v>
      </c>
      <c r="I71" s="177">
        <f>'[6]Final prices'!I71*1000/'[6]Final income'!I71</f>
        <v>2.5828636947988093</v>
      </c>
      <c r="J71" s="177">
        <f>'[6]Final prices'!J71*1000/'[6]Final income'!J71</f>
        <v>2.7283803772371837</v>
      </c>
      <c r="K71" s="177">
        <f>'[6]Final prices'!K71*1000/'[6]Final income'!K71</f>
        <v>2.7598136896044658</v>
      </c>
      <c r="L71" s="177">
        <f>'[6]Final prices'!L71*1000/'[6]Final income'!L71</f>
        <v>2.8340655681409275</v>
      </c>
      <c r="M71" s="177">
        <f>'[6]Final prices'!M71*1000/'[6]Final income'!M71</f>
        <v>2.9028764009609387</v>
      </c>
      <c r="N71" s="177">
        <f>'[6]Final prices'!N71*1000/'[6]Final income'!N71</f>
        <v>3.0586436470112472</v>
      </c>
      <c r="O71" s="177">
        <f>'[6]Final prices'!O71*1000/'[6]Final income'!O71</f>
        <v>3.2591180955552894</v>
      </c>
      <c r="P71" s="177">
        <f>'[6]Final prices'!P71*1000/'[6]Final income'!P71</f>
        <v>3.561166177184182</v>
      </c>
      <c r="Q71" s="177">
        <f>'[6]Final prices'!Q71*1000/'[6]Final income'!Q71</f>
        <v>4.0795933494597323</v>
      </c>
      <c r="R71" s="177">
        <f>'[6]Final prices'!R71*1000/'[6]Final income'!R71</f>
        <v>4.4622993715037733</v>
      </c>
      <c r="S71" s="177">
        <f>'[6]Final prices'!S71*1000/'[6]Final income'!S71</f>
        <v>4.4353494535520337</v>
      </c>
      <c r="T71" s="177">
        <f>'[6]Final prices'!T71*1000/'[6]Final income'!T71</f>
        <v>4.0938863204378872</v>
      </c>
      <c r="U71" s="177">
        <f>'[6]Final prices'!U71*1000/'[6]Final income'!U71</f>
        <v>4.0246524657190053</v>
      </c>
      <c r="V71" s="177">
        <f>'[6]Final prices'!V71*1000/'[6]Final income'!V71</f>
        <v>4.0071060042413436</v>
      </c>
      <c r="W71" s="177" t="s">
        <v>25</v>
      </c>
    </row>
    <row r="72" spans="1:23">
      <c r="A72" s="65" t="s">
        <v>172</v>
      </c>
      <c r="B72" s="177">
        <f>'[6]Final prices'!B72*1000/'[6]Final income'!B72</f>
        <v>3.9241831565872416</v>
      </c>
      <c r="C72" s="177">
        <f>'[6]Final prices'!C72*1000/'[6]Final income'!C72</f>
        <v>3.9909027910673753</v>
      </c>
      <c r="D72" s="177">
        <f>'[6]Final prices'!D72*1000/'[6]Final income'!D72</f>
        <v>3.8898550554262616</v>
      </c>
      <c r="E72" s="177">
        <f>'[6]Final prices'!E72*1000/'[6]Final income'!E72</f>
        <v>3.9432464045225588</v>
      </c>
      <c r="F72" s="177">
        <f>'[6]Final prices'!F72*1000/'[6]Final income'!F72</f>
        <v>3.6630233424238958</v>
      </c>
      <c r="G72" s="177">
        <f>'[6]Final prices'!G72*1000/'[6]Final income'!G72</f>
        <v>3.287044332970301</v>
      </c>
      <c r="H72" s="177">
        <f>'[6]Final prices'!H72*1000/'[6]Final income'!H72</f>
        <v>2.9856309219577728</v>
      </c>
      <c r="I72" s="177">
        <f>'[6]Final prices'!I72*1000/'[6]Final income'!I72</f>
        <v>2.9059994094664257</v>
      </c>
      <c r="J72" s="177">
        <f>'[6]Final prices'!J72*1000/'[6]Final income'!J72</f>
        <v>2.9027750849067848</v>
      </c>
      <c r="K72" s="177">
        <f>'[6]Final prices'!K72*1000/'[6]Final income'!K72</f>
        <v>3.0268370729952534</v>
      </c>
      <c r="L72" s="177">
        <f>'[6]Final prices'!L72*1000/'[6]Final income'!L72</f>
        <v>3.2147622345786195</v>
      </c>
      <c r="M72" s="177">
        <f>'[6]Final prices'!M72*1000/'[6]Final income'!M72</f>
        <v>3.5716247868302928</v>
      </c>
      <c r="N72" s="177">
        <f>'[6]Final prices'!N72*1000/'[6]Final income'!N72</f>
        <v>3.9569758399349051</v>
      </c>
      <c r="O72" s="177">
        <f>'[6]Final prices'!O72*1000/'[6]Final income'!O72</f>
        <v>4.798600351773521</v>
      </c>
      <c r="P72" s="177">
        <f>'[6]Final prices'!P72*1000/'[6]Final income'!P72</f>
        <v>6.2996632764964353</v>
      </c>
      <c r="Q72" s="177">
        <f>'[6]Final prices'!Q72*1000/'[6]Final income'!Q72</f>
        <v>7.4075020175125257</v>
      </c>
      <c r="R72" s="177">
        <f>'[6]Final prices'!R72*1000/'[6]Final income'!R72</f>
        <v>7.5836935776456338</v>
      </c>
      <c r="S72" s="177">
        <f>'[6]Final prices'!S72*1000/'[6]Final income'!S72</f>
        <v>6.6285655588387922</v>
      </c>
      <c r="T72" s="177">
        <f>'[6]Final prices'!T72*1000/'[6]Final income'!T72</f>
        <v>4.2685581775634942</v>
      </c>
      <c r="U72" s="177">
        <f>'[6]Final prices'!U72*1000/'[6]Final income'!U72</f>
        <v>3.0839318864873762</v>
      </c>
      <c r="V72" s="177">
        <f>'[6]Final prices'!V72*1000/'[6]Final income'!V72</f>
        <v>3.3738404434233846</v>
      </c>
      <c r="W72" s="177">
        <f>'[6]Final prices'!W72*1000/'[6]Final income'!W72</f>
        <v>3.1870237302698419</v>
      </c>
    </row>
    <row r="73" spans="1:23">
      <c r="A73" s="65" t="s">
        <v>173</v>
      </c>
      <c r="B73" s="177">
        <f>'[6]Final prices'!B73*1000/'[6]Final income'!B73</f>
        <v>2.3017681216853347</v>
      </c>
      <c r="C73" s="177">
        <f>'[6]Final prices'!C73*1000/'[6]Final income'!C73</f>
        <v>2.3329722497053602</v>
      </c>
      <c r="D73" s="177">
        <f>'[6]Final prices'!D73*1000/'[6]Final income'!D73</f>
        <v>2.4920637829481196</v>
      </c>
      <c r="E73" s="177">
        <f>'[6]Final prices'!E73*1000/'[6]Final income'!E73</f>
        <v>2.4396131078180319</v>
      </c>
      <c r="F73" s="177">
        <f>'[6]Final prices'!F73*1000/'[6]Final income'!F73</f>
        <v>2.4503613595755795</v>
      </c>
      <c r="G73" s="177">
        <f>'[6]Final prices'!G73*1000/'[6]Final income'!G73</f>
        <v>2.3383744030449605</v>
      </c>
      <c r="H73" s="177">
        <f>'[6]Final prices'!H73*1000/'[6]Final income'!H73</f>
        <v>2.1994616956639059</v>
      </c>
      <c r="I73" s="177">
        <f>'[6]Final prices'!I73*1000/'[6]Final income'!I73</f>
        <v>2.1793447364287823</v>
      </c>
      <c r="J73" s="177">
        <f>'[6]Final prices'!J73*1000/'[6]Final income'!J73</f>
        <v>2.1164990415726121</v>
      </c>
      <c r="K73" s="177">
        <f>'[6]Final prices'!K73*1000/'[6]Final income'!K73</f>
        <v>1.972052833526647</v>
      </c>
      <c r="L73" s="177">
        <f>'[6]Final prices'!L73*1000/'[6]Final income'!L73</f>
        <v>1.9272659546235995</v>
      </c>
      <c r="M73" s="177">
        <f>'[6]Final prices'!M73*1000/'[6]Final income'!M73</f>
        <v>2.0206127711948429</v>
      </c>
      <c r="N73" s="177">
        <f>'[6]Final prices'!N73*1000/'[6]Final income'!N73</f>
        <v>2.0433934459187149</v>
      </c>
      <c r="O73" s="177">
        <f>'[6]Final prices'!O73*1000/'[6]Final income'!O73</f>
        <v>2.0978217137077326</v>
      </c>
      <c r="P73" s="177">
        <f>'[6]Final prices'!P73*1000/'[6]Final income'!P73</f>
        <v>2.1698318882459713</v>
      </c>
      <c r="Q73" s="177">
        <f>'[6]Final prices'!Q73*1000/'[6]Final income'!Q73</f>
        <v>2.2970375209397895</v>
      </c>
      <c r="R73" s="177">
        <f>'[6]Final prices'!R73*1000/'[6]Final income'!R73</f>
        <v>2.3048040773942859</v>
      </c>
      <c r="S73" s="177">
        <f>'[6]Final prices'!S73*1000/'[6]Final income'!S73</f>
        <v>2.3582197488147707</v>
      </c>
      <c r="T73" s="177">
        <f>'[6]Final prices'!T73*1000/'[6]Final income'!T73</f>
        <v>2.2403107970899745</v>
      </c>
      <c r="U73" s="177">
        <f>'[6]Final prices'!U73*1000/'[6]Final income'!U73</f>
        <v>2.2778581580558011</v>
      </c>
      <c r="V73" s="177">
        <f>'[6]Final prices'!V73*1000/'[6]Final income'!V73</f>
        <v>2.3786912813560037</v>
      </c>
      <c r="W73" s="177">
        <f>'[6]Final prices'!W73*1000/'[6]Final income'!W73</f>
        <v>2.3522740540290887</v>
      </c>
    </row>
    <row r="74" spans="1:23">
      <c r="A74" s="65" t="s">
        <v>174</v>
      </c>
      <c r="B74" s="177">
        <f>'[6]Final prices'!B74*1000/'[6]Final income'!B74</f>
        <v>4.0704188743797562</v>
      </c>
      <c r="C74" s="177">
        <f>'[6]Final prices'!C74*1000/'[6]Final income'!C74</f>
        <v>4.021997384238043</v>
      </c>
      <c r="D74" s="177">
        <f>'[6]Final prices'!D74*1000/'[6]Final income'!D74</f>
        <v>3.7494633725106628</v>
      </c>
      <c r="E74" s="177">
        <f>'[6]Final prices'!E74*1000/'[6]Final income'!E74</f>
        <v>3.6755041800633435</v>
      </c>
      <c r="F74" s="177">
        <f>'[6]Final prices'!F74*1000/'[6]Final income'!F74</f>
        <v>3.3884130471428584</v>
      </c>
      <c r="G74" s="177">
        <f>'[6]Final prices'!G74*1000/'[6]Final income'!G74</f>
        <v>3.0767799046388515</v>
      </c>
      <c r="H74" s="177">
        <f>'[6]Final prices'!H74*1000/'[6]Final income'!H74</f>
        <v>2.7991682318707691</v>
      </c>
      <c r="I74" s="177">
        <f>'[6]Final prices'!I74*1000/'[6]Final income'!I74</f>
        <v>2.7346206655436998</v>
      </c>
      <c r="J74" s="177">
        <f>'[6]Final prices'!J74*1000/'[6]Final income'!J74</f>
        <v>2.8798928196770337</v>
      </c>
      <c r="K74" s="177">
        <f>'[6]Final prices'!K74*1000/'[6]Final income'!K74</f>
        <v>2.8773471215142457</v>
      </c>
      <c r="L74" s="177">
        <f>'[6]Final prices'!L74*1000/'[6]Final income'!L74</f>
        <v>3.0612934135423768</v>
      </c>
      <c r="M74" s="177">
        <f>'[6]Final prices'!M74*1000/'[6]Final income'!M74</f>
        <v>3.6106944149815452</v>
      </c>
      <c r="N74" s="177">
        <f>'[6]Final prices'!N74*1000/'[6]Final income'!N74</f>
        <v>4.2483410672224071</v>
      </c>
      <c r="O74" s="177">
        <f>'[6]Final prices'!O74*1000/'[6]Final income'!O74</f>
        <v>4.9020389930668848</v>
      </c>
      <c r="P74" s="177">
        <f>'[6]Final prices'!P74*1000/'[6]Final income'!P74</f>
        <v>6.0434379896437145</v>
      </c>
      <c r="Q74" s="177">
        <f>'[6]Final prices'!Q74*1000/'[6]Final income'!Q74</f>
        <v>6.8778858183990836</v>
      </c>
      <c r="R74" s="177">
        <f>'[6]Final prices'!R74*1000/'[6]Final income'!R74</f>
        <v>6.541818532627997</v>
      </c>
      <c r="S74" s="177">
        <f>'[6]Final prices'!S74*1000/'[6]Final income'!S74</f>
        <v>5.6381628957324814</v>
      </c>
      <c r="T74" s="177">
        <f>'[6]Final prices'!T74*1000/'[6]Final income'!T74</f>
        <v>3.6306597842430408</v>
      </c>
      <c r="U74" s="177">
        <f>'[6]Final prices'!U74*1000/'[6]Final income'!U74</f>
        <v>3.084055351184956</v>
      </c>
      <c r="V74" s="177">
        <f>'[6]Final prices'!V74*1000/'[6]Final income'!V74</f>
        <v>3.2179602657359685</v>
      </c>
      <c r="W74" s="177">
        <f>'[6]Final prices'!W74*1000/'[6]Final income'!W74</f>
        <v>2.8637184230909418</v>
      </c>
    </row>
    <row r="75" spans="1:23">
      <c r="A75" s="65" t="s">
        <v>175</v>
      </c>
      <c r="B75" s="177">
        <f>'[6]Final prices'!B75*1000/'[6]Final income'!B75</f>
        <v>2.3001934525698662</v>
      </c>
      <c r="C75" s="177">
        <f>'[6]Final prices'!C75*1000/'[6]Final income'!C75</f>
        <v>2.5614778533034923</v>
      </c>
      <c r="D75" s="177">
        <f>'[6]Final prices'!D75*1000/'[6]Final income'!D75</f>
        <v>2.1865236670160884</v>
      </c>
      <c r="E75" s="177">
        <f>'[6]Final prices'!E75*1000/'[6]Final income'!E75</f>
        <v>2.2881034269389326</v>
      </c>
      <c r="F75" s="177">
        <f>'[6]Final prices'!F75*1000/'[6]Final income'!F75</f>
        <v>2.649670207567143</v>
      </c>
      <c r="G75" s="177">
        <f>'[6]Final prices'!G75*1000/'[6]Final income'!G75</f>
        <v>2.9419974815300209</v>
      </c>
      <c r="H75" s="177">
        <f>'[6]Final prices'!H75*1000/'[6]Final income'!H75</f>
        <v>3.1287019130624283</v>
      </c>
      <c r="I75" s="177">
        <f>'[6]Final prices'!I75*1000/'[6]Final income'!I75</f>
        <v>2.818569690184181</v>
      </c>
      <c r="J75" s="177">
        <f>'[6]Final prices'!J75*1000/'[6]Final income'!J75</f>
        <v>2.8044560301031223</v>
      </c>
      <c r="K75" s="177">
        <f>'[6]Final prices'!K75*1000/'[6]Final income'!K75</f>
        <v>2.8219795862850012</v>
      </c>
      <c r="L75" s="177">
        <f>'[6]Final prices'!L75*1000/'[6]Final income'!L75</f>
        <v>2.8839570823288923</v>
      </c>
      <c r="M75" s="177">
        <f>'[6]Final prices'!M75*1000/'[6]Final income'!M75</f>
        <v>2.9968169062752845</v>
      </c>
      <c r="N75" s="177">
        <f>'[6]Final prices'!N75*1000/'[6]Final income'!N75</f>
        <v>3.0067801373521461</v>
      </c>
      <c r="O75" s="177">
        <f>'[6]Final prices'!O75*1000/'[6]Final income'!O75</f>
        <v>3.0188408793052242</v>
      </c>
      <c r="P75" s="177">
        <f>'[6]Final prices'!P75*1000/'[6]Final income'!P75</f>
        <v>3.1673793186406951</v>
      </c>
      <c r="Q75" s="177">
        <f>'[6]Final prices'!Q75*1000/'[6]Final income'!Q75</f>
        <v>3.4332221201662474</v>
      </c>
      <c r="R75" s="177">
        <f>'[6]Final prices'!R75*1000/'[6]Final income'!R75</f>
        <v>3.7956143759751662</v>
      </c>
      <c r="S75" s="177">
        <f>'[6]Final prices'!S75*1000/'[6]Final income'!S75</f>
        <v>4.030157175474252</v>
      </c>
      <c r="T75" s="177">
        <f>'[6]Final prices'!T75*1000/'[6]Final income'!T75</f>
        <v>3.8551705756770263</v>
      </c>
      <c r="U75" s="177">
        <f>'[6]Final prices'!U75*1000/'[6]Final income'!U75</f>
        <v>3.7976330452989782</v>
      </c>
      <c r="V75" s="177">
        <f>'[6]Final prices'!V75*1000/'[6]Final income'!V75</f>
        <v>3.616555692327442</v>
      </c>
      <c r="W75" s="177">
        <f>'[6]Final prices'!W75*1000/'[6]Final income'!W75</f>
        <v>3.1616490112695876</v>
      </c>
    </row>
    <row r="76" spans="1:23">
      <c r="A76" s="65" t="s">
        <v>176</v>
      </c>
      <c r="B76" s="177">
        <f>'[6]Final prices'!B76*1000/'[6]Final income'!B76</f>
        <v>2.2625968409727686</v>
      </c>
      <c r="C76" s="177">
        <f>'[6]Final prices'!C76*1000/'[6]Final income'!C76</f>
        <v>2.3234928639006061</v>
      </c>
      <c r="D76" s="177">
        <f>'[6]Final prices'!D76*1000/'[6]Final income'!D76</f>
        <v>2.4894562787019958</v>
      </c>
      <c r="E76" s="177">
        <f>'[6]Final prices'!E76*1000/'[6]Final income'!E76</f>
        <v>2.6274045167415911</v>
      </c>
      <c r="F76" s="177">
        <f>'[6]Final prices'!F76*1000/'[6]Final income'!F76</f>
        <v>2.4863991301776385</v>
      </c>
      <c r="G76" s="177">
        <f>'[6]Final prices'!G76*1000/'[6]Final income'!G76</f>
        <v>2.4466218457213231</v>
      </c>
      <c r="H76" s="177">
        <f>'[6]Final prices'!H76*1000/'[6]Final income'!H76</f>
        <v>2.4925652460014911</v>
      </c>
      <c r="I76" s="177">
        <f>'[6]Final prices'!I76*1000/'[6]Final income'!I76</f>
        <v>2.3995570662535344</v>
      </c>
      <c r="J76" s="177">
        <f>'[6]Final prices'!J76*1000/'[6]Final income'!J76</f>
        <v>2.3954062366570925</v>
      </c>
      <c r="K76" s="177">
        <f>'[6]Final prices'!K76*1000/'[6]Final income'!K76</f>
        <v>2.3268710213396178</v>
      </c>
      <c r="L76" s="177">
        <f>'[6]Final prices'!L76*1000/'[6]Final income'!L76</f>
        <v>2.41654352287035</v>
      </c>
      <c r="M76" s="177">
        <f>'[6]Final prices'!M76*1000/'[6]Final income'!M76</f>
        <v>2.5656236188620136</v>
      </c>
      <c r="N76" s="177">
        <f>'[6]Final prices'!N76*1000/'[6]Final income'!N76</f>
        <v>2.6829153289946768</v>
      </c>
      <c r="O76" s="177">
        <f>'[6]Final prices'!O76*1000/'[6]Final income'!O76</f>
        <v>2.9281883072639765</v>
      </c>
      <c r="P76" s="177">
        <f>'[6]Final prices'!P76*1000/'[6]Final income'!P76</f>
        <v>2.9785182118120406</v>
      </c>
      <c r="Q76" s="177">
        <f>'[6]Final prices'!Q76*1000/'[6]Final income'!Q76</f>
        <v>3.1882913048753676</v>
      </c>
      <c r="R76" s="177">
        <f>'[6]Final prices'!R76*1000/'[6]Final income'!R76</f>
        <v>3.1655987699374624</v>
      </c>
      <c r="S76" s="177">
        <f>'[6]Final prices'!S76*1000/'[6]Final income'!S76</f>
        <v>3.2464023813093981</v>
      </c>
      <c r="T76" s="177">
        <f>'[6]Final prices'!T76*1000/'[6]Final income'!T76</f>
        <v>3.1109316115012251</v>
      </c>
      <c r="U76" s="177">
        <f>'[6]Final prices'!U76*1000/'[6]Final income'!U76</f>
        <v>3.1799984504657335</v>
      </c>
      <c r="V76" s="177">
        <f>'[6]Final prices'!V76*1000/'[6]Final income'!V76</f>
        <v>3.1500438018533727</v>
      </c>
      <c r="W76" s="177">
        <f>'[6]Final prices'!W76*1000/'[6]Final income'!W76</f>
        <v>3.0527303190340107</v>
      </c>
    </row>
    <row r="77" spans="1:23">
      <c r="A77" s="65" t="s">
        <v>177</v>
      </c>
      <c r="B77" s="177">
        <f>'[6]Final prices'!B77*1000/'[6]Final income'!B77</f>
        <v>5.1241810387000513</v>
      </c>
      <c r="C77" s="177">
        <f>'[6]Final prices'!C77*1000/'[6]Final income'!C77</f>
        <v>5.1504351973008502</v>
      </c>
      <c r="D77" s="177">
        <f>'[6]Final prices'!D77*1000/'[6]Final income'!D77</f>
        <v>4.8483093267652864</v>
      </c>
      <c r="E77" s="177">
        <f>'[6]Final prices'!E77*1000/'[6]Final income'!E77</f>
        <v>4.7805879128276496</v>
      </c>
      <c r="F77" s="177">
        <f>'[6]Final prices'!F77*1000/'[6]Final income'!F77</f>
        <v>4.5603089796765452</v>
      </c>
      <c r="G77" s="177">
        <f>'[6]Final prices'!G77*1000/'[6]Final income'!G77</f>
        <v>4.2417882345639653</v>
      </c>
      <c r="H77" s="177">
        <f>'[6]Final prices'!H77*1000/'[6]Final income'!H77</f>
        <v>4.0998866951638853</v>
      </c>
      <c r="I77" s="177">
        <f>'[6]Final prices'!I77*1000/'[6]Final income'!I77</f>
        <v>4.2349980974014185</v>
      </c>
      <c r="J77" s="177">
        <f>'[6]Final prices'!J77*1000/'[6]Final income'!J77</f>
        <v>4.5605790235105159</v>
      </c>
      <c r="K77" s="177">
        <f>'[6]Final prices'!K77*1000/'[6]Final income'!K77</f>
        <v>4.9031168605226751</v>
      </c>
      <c r="L77" s="177">
        <f>'[6]Final prices'!L77*1000/'[6]Final income'!L77</f>
        <v>5.5890929606515876</v>
      </c>
      <c r="M77" s="177">
        <f>'[6]Final prices'!M77*1000/'[6]Final income'!M77</f>
        <v>6.0506365599310987</v>
      </c>
      <c r="N77" s="177">
        <f>'[6]Final prices'!N77*1000/'[6]Final income'!N77</f>
        <v>7.1517652125227089</v>
      </c>
      <c r="O77" s="177">
        <f>'[6]Final prices'!O77*1000/'[6]Final income'!O77</f>
        <v>8.2270881429895084</v>
      </c>
      <c r="P77" s="177">
        <f>'[6]Final prices'!P77*1000/'[6]Final income'!P77</f>
        <v>10.310440494353735</v>
      </c>
      <c r="Q77" s="177">
        <f>'[6]Final prices'!Q77*1000/'[6]Final income'!Q77</f>
        <v>10.730692023361975</v>
      </c>
      <c r="R77" s="177">
        <f>'[6]Final prices'!R77*1000/'[6]Final income'!R77</f>
        <v>10.069840323252063</v>
      </c>
      <c r="S77" s="177">
        <f>'[6]Final prices'!S77*1000/'[6]Final income'!S77</f>
        <v>9.2533350241114238</v>
      </c>
      <c r="T77" s="177">
        <f>'[6]Final prices'!T77*1000/'[6]Final income'!T77</f>
        <v>6.4463380438524327</v>
      </c>
      <c r="U77" s="177">
        <f>'[6]Final prices'!U77*1000/'[6]Final income'!U77</f>
        <v>5.8879920506547787</v>
      </c>
      <c r="V77" s="177">
        <f>'[6]Final prices'!V77*1000/'[6]Final income'!V77</f>
        <v>6.4630418480847958</v>
      </c>
      <c r="W77" s="177">
        <f>'[6]Final prices'!W77*1000/'[6]Final income'!W77</f>
        <v>6.0885350835971828</v>
      </c>
    </row>
    <row r="78" spans="1:23">
      <c r="A78" s="65" t="s">
        <v>178</v>
      </c>
      <c r="B78" s="177">
        <f>'[6]Final prices'!B78*1000/'[6]Final income'!B78</f>
        <v>6.1458051989497182</v>
      </c>
      <c r="C78" s="177">
        <f>'[6]Final prices'!C78*1000/'[6]Final income'!C78</f>
        <v>5.9423839685020061</v>
      </c>
      <c r="D78" s="177">
        <f>'[6]Final prices'!D78*1000/'[6]Final income'!D78</f>
        <v>5.5095336392760643</v>
      </c>
      <c r="E78" s="177">
        <f>'[6]Final prices'!E78*1000/'[6]Final income'!E78</f>
        <v>5.4304406194694774</v>
      </c>
      <c r="F78" s="177">
        <f>'[6]Final prices'!F78*1000/'[6]Final income'!F78</f>
        <v>5.2308208286347995</v>
      </c>
      <c r="G78" s="177">
        <f>'[6]Final prices'!G78*1000/'[6]Final income'!G78</f>
        <v>4.8942131380979346</v>
      </c>
      <c r="H78" s="177">
        <f>'[6]Final prices'!H78*1000/'[6]Final income'!H78</f>
        <v>4.8225710658138246</v>
      </c>
      <c r="I78" s="177">
        <f>'[6]Final prices'!I78*1000/'[6]Final income'!I78</f>
        <v>5.0596382057681728</v>
      </c>
      <c r="J78" s="177">
        <f>'[6]Final prices'!J78*1000/'[6]Final income'!J78</f>
        <v>5.4401085420859712</v>
      </c>
      <c r="K78" s="177">
        <f>'[6]Final prices'!K78*1000/'[6]Final income'!K78</f>
        <v>5.876912751254971</v>
      </c>
      <c r="L78" s="177">
        <f>'[6]Final prices'!L78*1000/'[6]Final income'!L78</f>
        <v>7.3167119212623142</v>
      </c>
      <c r="M78" s="177">
        <f>'[6]Final prices'!M78*1000/'[6]Final income'!M78</f>
        <v>7.5476221255059457</v>
      </c>
      <c r="N78" s="177">
        <f>'[6]Final prices'!N78*1000/'[6]Final income'!N78</f>
        <v>8.0697133957965494</v>
      </c>
      <c r="O78" s="177">
        <f>'[6]Final prices'!O78*1000/'[6]Final income'!O78</f>
        <v>8.5868649060223099</v>
      </c>
      <c r="P78" s="177">
        <f>'[6]Final prices'!P78*1000/'[6]Final income'!P78</f>
        <v>9.866487257093981</v>
      </c>
      <c r="Q78" s="177">
        <f>'[6]Final prices'!Q78*1000/'[6]Final income'!Q78</f>
        <v>10.716008631326638</v>
      </c>
      <c r="R78" s="177">
        <f>'[6]Final prices'!R78*1000/'[6]Final income'!R78</f>
        <v>10.788612802913178</v>
      </c>
      <c r="S78" s="177">
        <f>'[6]Final prices'!S78*1000/'[6]Final income'!S78</f>
        <v>10.794057821726385</v>
      </c>
      <c r="T78" s="177">
        <f>'[6]Final prices'!T78*1000/'[6]Final income'!T78</f>
        <v>8.186648538746736</v>
      </c>
      <c r="U78" s="177">
        <f>'[6]Final prices'!U78*1000/'[6]Final income'!U78</f>
        <v>6.646941349794945</v>
      </c>
      <c r="V78" s="177">
        <f>'[6]Final prices'!V78*1000/'[6]Final income'!V78</f>
        <v>7.1964327295832664</v>
      </c>
      <c r="W78" s="177">
        <f>'[6]Final prices'!W78*1000/'[6]Final income'!W78</f>
        <v>6.5014964825484514</v>
      </c>
    </row>
    <row r="79" spans="1:23">
      <c r="A79" s="65" t="s">
        <v>179</v>
      </c>
      <c r="B79" s="177" t="s">
        <v>25</v>
      </c>
      <c r="C79" s="177" t="s">
        <v>25</v>
      </c>
      <c r="D79" s="177" t="s">
        <v>25</v>
      </c>
      <c r="E79" s="177" t="s">
        <v>25</v>
      </c>
      <c r="F79" s="177" t="s">
        <v>25</v>
      </c>
      <c r="G79" s="177" t="s">
        <v>25</v>
      </c>
      <c r="H79" s="177" t="s">
        <v>25</v>
      </c>
      <c r="I79" s="177" t="s">
        <v>25</v>
      </c>
      <c r="J79" s="177" t="s">
        <v>25</v>
      </c>
      <c r="K79" s="177" t="s">
        <v>25</v>
      </c>
      <c r="L79" s="177" t="s">
        <v>25</v>
      </c>
      <c r="M79" s="177" t="s">
        <v>25</v>
      </c>
      <c r="N79" s="177" t="s">
        <v>25</v>
      </c>
      <c r="O79" s="177" t="s">
        <v>25</v>
      </c>
      <c r="P79" s="177" t="s">
        <v>25</v>
      </c>
      <c r="Q79" s="177">
        <f>'[6]Final prices'!Q79*1000/'[6]Final income'!Q79</f>
        <v>9.7033374096586531</v>
      </c>
      <c r="R79" s="177">
        <f>'[6]Final prices'!R79*1000/'[6]Final income'!R79</f>
        <v>9.5791622526751166</v>
      </c>
      <c r="S79" s="177">
        <f>'[6]Final prices'!S79*1000/'[6]Final income'!S79</f>
        <v>9.7926978537409468</v>
      </c>
      <c r="T79" s="177">
        <f>'[6]Final prices'!T79*1000/'[6]Final income'!T79</f>
        <v>7.7559889850875443</v>
      </c>
      <c r="U79" s="177">
        <f>'[6]Final prices'!U79*1000/'[6]Final income'!U79</f>
        <v>6.2100813289808139</v>
      </c>
      <c r="V79" s="177">
        <f>'[6]Final prices'!V79*1000/'[6]Final income'!V79</f>
        <v>7.1363962143455772</v>
      </c>
      <c r="W79" s="177">
        <f>'[6]Final prices'!W79*1000/'[6]Final income'!W79</f>
        <v>6.657973334978756</v>
      </c>
    </row>
    <row r="80" spans="1:23">
      <c r="A80" s="65" t="s">
        <v>180</v>
      </c>
      <c r="B80" s="177">
        <f>'[6]Final prices'!B80*1000/'[6]Final income'!B80</f>
        <v>3.4123387017443614</v>
      </c>
      <c r="C80" s="177">
        <f>'[6]Final prices'!C80*1000/'[6]Final income'!C80</f>
        <v>3.2472579927510825</v>
      </c>
      <c r="D80" s="177">
        <f>'[6]Final prices'!D80*1000/'[6]Final income'!D80</f>
        <v>3.3256157106729636</v>
      </c>
      <c r="E80" s="177">
        <f>'[6]Final prices'!E80*1000/'[6]Final income'!E80</f>
        <v>3.2611723481570287</v>
      </c>
      <c r="F80" s="177">
        <f>'[6]Final prices'!F80*1000/'[6]Final income'!F80</f>
        <v>3.6156444511663239</v>
      </c>
      <c r="G80" s="177">
        <f>'[6]Final prices'!G80*1000/'[6]Final income'!G80</f>
        <v>3.4808785783099516</v>
      </c>
      <c r="H80" s="177">
        <f>'[6]Final prices'!H80*1000/'[6]Final income'!H80</f>
        <v>3.5045846552653548</v>
      </c>
      <c r="I80" s="177">
        <f>'[6]Final prices'!I80*1000/'[6]Final income'!I80</f>
        <v>2.9773327405623422</v>
      </c>
      <c r="J80" s="177">
        <f>'[6]Final prices'!J80*1000/'[6]Final income'!J80</f>
        <v>3.2256712571906645</v>
      </c>
      <c r="K80" s="177">
        <f>'[6]Final prices'!K80*1000/'[6]Final income'!K80</f>
        <v>3.6593681070776221</v>
      </c>
      <c r="L80" s="177">
        <f>'[6]Final prices'!L80*1000/'[6]Final income'!L80</f>
        <v>3.8875803095148851</v>
      </c>
      <c r="M80" s="177">
        <f>'[6]Final prices'!M80*1000/'[6]Final income'!M80</f>
        <v>4.307620907317574</v>
      </c>
      <c r="N80" s="177">
        <f>'[6]Final prices'!N80*1000/'[6]Final income'!N80</f>
        <v>4.4355732923596962</v>
      </c>
      <c r="O80" s="177">
        <f>'[6]Final prices'!O80*1000/'[6]Final income'!O80</f>
        <v>4.5432931061981101</v>
      </c>
      <c r="P80" s="177">
        <f>'[6]Final prices'!P80*1000/'[6]Final income'!P80</f>
        <v>5.1712750534650498</v>
      </c>
      <c r="Q80" s="177">
        <f>'[6]Final prices'!Q80*1000/'[6]Final income'!Q80</f>
        <v>5.7680159035329028</v>
      </c>
      <c r="R80" s="177">
        <f>'[6]Final prices'!R80*1000/'[6]Final income'!R80</f>
        <v>6.1389904964870947</v>
      </c>
      <c r="S80" s="177">
        <f>'[6]Final prices'!S80*1000/'[6]Final income'!S80</f>
        <v>6.1595107601363157</v>
      </c>
      <c r="T80" s="177">
        <f>'[6]Final prices'!T80*1000/'[6]Final income'!T80</f>
        <v>5.4153596446256502</v>
      </c>
      <c r="U80" s="177">
        <f>'[6]Final prices'!U80*1000/'[6]Final income'!U80</f>
        <v>4.9464548789805001</v>
      </c>
      <c r="V80" s="177">
        <f>'[6]Final prices'!V80*1000/'[6]Final income'!V80</f>
        <v>4.8019991805211699</v>
      </c>
      <c r="W80" s="177">
        <f>'[6]Final prices'!W80*1000/'[6]Final income'!W80</f>
        <v>4.3454688188856316</v>
      </c>
    </row>
    <row r="81" spans="1:23">
      <c r="A81" s="65" t="s">
        <v>181</v>
      </c>
      <c r="B81" s="177">
        <f>'[6]Final prices'!B81*1000/'[6]Final income'!B81</f>
        <v>3.9698436983548842</v>
      </c>
      <c r="C81" s="177">
        <f>'[6]Final prices'!C81*1000/'[6]Final income'!C81</f>
        <v>3.8654104053894764</v>
      </c>
      <c r="D81" s="177">
        <f>'[6]Final prices'!D81*1000/'[6]Final income'!D81</f>
        <v>3.7278359067502773</v>
      </c>
      <c r="E81" s="177">
        <f>'[6]Final prices'!E81*1000/'[6]Final income'!E81</f>
        <v>3.5291754340143324</v>
      </c>
      <c r="F81" s="177">
        <f>'[6]Final prices'!F81*1000/'[6]Final income'!F81</f>
        <v>3.0753230295458831</v>
      </c>
      <c r="G81" s="177">
        <f>'[6]Final prices'!G81*1000/'[6]Final income'!G81</f>
        <v>3.1833339794237685</v>
      </c>
      <c r="H81" s="177">
        <f>'[6]Final prices'!H81*1000/'[6]Final income'!H81</f>
        <v>3.0666159433556373</v>
      </c>
      <c r="I81" s="177">
        <f>'[6]Final prices'!I81*1000/'[6]Final income'!I81</f>
        <v>2.8518876027418205</v>
      </c>
      <c r="J81" s="177">
        <f>'[6]Final prices'!J81*1000/'[6]Final income'!J81</f>
        <v>2.9027564147205767</v>
      </c>
      <c r="K81" s="177">
        <f>'[6]Final prices'!K81*1000/'[6]Final income'!K81</f>
        <v>2.9010570181379536</v>
      </c>
      <c r="L81" s="177">
        <f>'[6]Final prices'!L81*1000/'[6]Final income'!L81</f>
        <v>2.938168238949121</v>
      </c>
      <c r="M81" s="177">
        <f>'[6]Final prices'!M81*1000/'[6]Final income'!M81</f>
        <v>3.0738513819295474</v>
      </c>
      <c r="N81" s="177">
        <f>'[6]Final prices'!N81*1000/'[6]Final income'!N81</f>
        <v>3.3199182468441437</v>
      </c>
      <c r="O81" s="177">
        <f>'[6]Final prices'!O81*1000/'[6]Final income'!O81</f>
        <v>3.7603076259231698</v>
      </c>
      <c r="P81" s="177">
        <f>'[6]Final prices'!P81*1000/'[6]Final income'!P81</f>
        <v>4.0256460566203751</v>
      </c>
      <c r="Q81" s="177">
        <f>'[6]Final prices'!Q81*1000/'[6]Final income'!Q81</f>
        <v>4.4339837748790556</v>
      </c>
      <c r="R81" s="177">
        <f>'[6]Final prices'!R81*1000/'[6]Final income'!R81</f>
        <v>4.4152066713407123</v>
      </c>
      <c r="S81" s="177">
        <f>'[6]Final prices'!S81*1000/'[6]Final income'!S81</f>
        <v>4.3539636218372815</v>
      </c>
      <c r="T81" s="177">
        <f>'[6]Final prices'!T81*1000/'[6]Final income'!T81</f>
        <v>3.8848213406600034</v>
      </c>
      <c r="U81" s="177">
        <f>'[6]Final prices'!U81*1000/'[6]Final income'!U81</f>
        <v>3.6919366032936258</v>
      </c>
      <c r="V81" s="177">
        <f>'[6]Final prices'!V81*1000/'[6]Final income'!V81</f>
        <v>3.9096964891942174</v>
      </c>
      <c r="W81" s="177">
        <f>'[6]Final prices'!W81*1000/'[6]Final income'!W81</f>
        <v>3.664057854102972</v>
      </c>
    </row>
    <row r="82" spans="1:23">
      <c r="A82" s="65" t="s">
        <v>182</v>
      </c>
      <c r="B82" s="177">
        <f>'[6]Final prices'!B82*1000/'[6]Final income'!B82</f>
        <v>2.4768371675004528</v>
      </c>
      <c r="C82" s="177">
        <f>'[6]Final prices'!C82*1000/'[6]Final income'!C82</f>
        <v>2.4846224861518689</v>
      </c>
      <c r="D82" s="177">
        <f>'[6]Final prices'!D82*1000/'[6]Final income'!D82</f>
        <v>2.673780885818724</v>
      </c>
      <c r="E82" s="177">
        <f>'[6]Final prices'!E82*1000/'[6]Final income'!E82</f>
        <v>2.6161944650225153</v>
      </c>
      <c r="F82" s="177">
        <f>'[6]Final prices'!F82*1000/'[6]Final income'!F82</f>
        <v>2.5038073042528208</v>
      </c>
      <c r="G82" s="177">
        <f>'[6]Final prices'!G82*1000/'[6]Final income'!G82</f>
        <v>2.2835686719226032</v>
      </c>
      <c r="H82" s="177">
        <f>'[6]Final prices'!H82*1000/'[6]Final income'!H82</f>
        <v>2.4106892319519404</v>
      </c>
      <c r="I82" s="177">
        <f>'[6]Final prices'!I82*1000/'[6]Final income'!I82</f>
        <v>2.43061672232849</v>
      </c>
      <c r="J82" s="177">
        <f>'[6]Final prices'!J82*1000/'[6]Final income'!J82</f>
        <v>2.3512872103020341</v>
      </c>
      <c r="K82" s="177">
        <f>'[6]Final prices'!K82*1000/'[6]Final income'!K82</f>
        <v>2.3592729395520875</v>
      </c>
      <c r="L82" s="177">
        <f>'[6]Final prices'!L82*1000/'[6]Final income'!L82</f>
        <v>2.4352914099283596</v>
      </c>
      <c r="M82" s="177">
        <f>'[6]Final prices'!M82*1000/'[6]Final income'!M82</f>
        <v>2.4923455488523443</v>
      </c>
      <c r="N82" s="177">
        <f>'[6]Final prices'!N82*1000/'[6]Final income'!N82</f>
        <v>2.5919449742970082</v>
      </c>
      <c r="O82" s="177">
        <f>'[6]Final prices'!O82*1000/'[6]Final income'!O82</f>
        <v>2.5441010197455265</v>
      </c>
      <c r="P82" s="177">
        <f>'[6]Final prices'!P82*1000/'[6]Final income'!P82</f>
        <v>2.620692340667405</v>
      </c>
      <c r="Q82" s="177">
        <f>'[6]Final prices'!Q82*1000/'[6]Final income'!Q82</f>
        <v>2.8535215177923083</v>
      </c>
      <c r="R82" s="177">
        <f>'[6]Final prices'!R82*1000/'[6]Final income'!R82</f>
        <v>2.9322043188124534</v>
      </c>
      <c r="S82" s="177">
        <f>'[6]Final prices'!S82*1000/'[6]Final income'!S82</f>
        <v>2.7324736367914992</v>
      </c>
      <c r="T82" s="177">
        <f>'[6]Final prices'!T82*1000/'[6]Final income'!T82</f>
        <v>2.4158602008549988</v>
      </c>
      <c r="U82" s="177">
        <f>'[6]Final prices'!U82*1000/'[6]Final income'!U82</f>
        <v>2.3591515148833397</v>
      </c>
      <c r="V82" s="177">
        <f>'[6]Final prices'!V82*1000/'[6]Final income'!V82</f>
        <v>2.4994116120255661</v>
      </c>
      <c r="W82" s="177">
        <f>'[6]Final prices'!W82*1000/'[6]Final income'!W82</f>
        <v>2.2896931347497897</v>
      </c>
    </row>
    <row r="83" spans="1:23">
      <c r="A83" s="65" t="s">
        <v>183</v>
      </c>
      <c r="B83" s="177">
        <f>'[6]Final prices'!B83*1000/'[6]Final income'!B83</f>
        <v>2.5716048370754225</v>
      </c>
      <c r="C83" s="177">
        <f>'[6]Final prices'!C83*1000/'[6]Final income'!C83</f>
        <v>2.4793167709244428</v>
      </c>
      <c r="D83" s="177">
        <f>'[6]Final prices'!D83*1000/'[6]Final income'!D83</f>
        <v>2.6111454198620172</v>
      </c>
      <c r="E83" s="177">
        <f>'[6]Final prices'!E83*1000/'[6]Final income'!E83</f>
        <v>2.7093807668611842</v>
      </c>
      <c r="F83" s="177">
        <f>'[6]Final prices'!F83*1000/'[6]Final income'!F83</f>
        <v>2.6361397999425744</v>
      </c>
      <c r="G83" s="177">
        <f>'[6]Final prices'!G83*1000/'[6]Final income'!G83</f>
        <v>2.4951668028608713</v>
      </c>
      <c r="H83" s="177">
        <f>'[6]Final prices'!H83*1000/'[6]Final income'!H83</f>
        <v>2.2446832061212261</v>
      </c>
      <c r="I83" s="177">
        <f>'[6]Final prices'!I83*1000/'[6]Final income'!I83</f>
        <v>2.2090419593332844</v>
      </c>
      <c r="J83" s="177">
        <f>'[6]Final prices'!J83*1000/'[6]Final income'!J83</f>
        <v>2.1074135995037135</v>
      </c>
      <c r="K83" s="177">
        <f>'[6]Final prices'!K83*1000/'[6]Final income'!K83</f>
        <v>2.0435783685848317</v>
      </c>
      <c r="L83" s="177">
        <f>'[6]Final prices'!L83*1000/'[6]Final income'!L83</f>
        <v>1.9663265686566478</v>
      </c>
      <c r="M83" s="177">
        <f>'[6]Final prices'!M83*1000/'[6]Final income'!M83</f>
        <v>2.0726530595479504</v>
      </c>
      <c r="N83" s="177">
        <f>'[6]Final prices'!N83*1000/'[6]Final income'!N83</f>
        <v>2.0557630795687443</v>
      </c>
      <c r="O83" s="177">
        <f>'[6]Final prices'!O83*1000/'[6]Final income'!O83</f>
        <v>2.1808441234195914</v>
      </c>
      <c r="P83" s="177">
        <f>'[6]Final prices'!P83*1000/'[6]Final income'!P83</f>
        <v>2.2025625145512882</v>
      </c>
      <c r="Q83" s="177">
        <f>'[6]Final prices'!Q83*1000/'[6]Final income'!Q83</f>
        <v>2.3789309270830814</v>
      </c>
      <c r="R83" s="177">
        <f>'[6]Final prices'!R83*1000/'[6]Final income'!R83</f>
        <v>2.5035987874280003</v>
      </c>
      <c r="S83" s="177">
        <f>'[6]Final prices'!S83*1000/'[6]Final income'!S83</f>
        <v>2.5596089610989696</v>
      </c>
      <c r="T83" s="177">
        <f>'[6]Final prices'!T83*1000/'[6]Final income'!T83</f>
        <v>2.4363052019447382</v>
      </c>
      <c r="U83" s="177">
        <f>'[6]Final prices'!U83*1000/'[6]Final income'!U83</f>
        <v>2.4878690178167124</v>
      </c>
      <c r="V83" s="177">
        <f>'[6]Final prices'!V83*1000/'[6]Final income'!V83</f>
        <v>2.5768962915148546</v>
      </c>
      <c r="W83" s="177">
        <f>'[6]Final prices'!W83*1000/'[6]Final income'!W83</f>
        <v>2.4684879171195844</v>
      </c>
    </row>
    <row r="84" spans="1:23">
      <c r="A84" s="65" t="s">
        <v>184</v>
      </c>
      <c r="B84" s="177">
        <f>'[6]Final prices'!B84*1000/'[6]Final income'!B84</f>
        <v>2.6379145645766395</v>
      </c>
      <c r="C84" s="177">
        <f>'[6]Final prices'!C84*1000/'[6]Final income'!C84</f>
        <v>2.5514908135667187</v>
      </c>
      <c r="D84" s="177">
        <f>'[6]Final prices'!D84*1000/'[6]Final income'!D84</f>
        <v>2.5758925614295776</v>
      </c>
      <c r="E84" s="177">
        <f>'[6]Final prices'!E84*1000/'[6]Final income'!E84</f>
        <v>2.5271430611206145</v>
      </c>
      <c r="F84" s="177">
        <f>'[6]Final prices'!F84*1000/'[6]Final income'!F84</f>
        <v>2.5019800610906695</v>
      </c>
      <c r="G84" s="177">
        <f>'[6]Final prices'!G84*1000/'[6]Final income'!G84</f>
        <v>2.501635876811148</v>
      </c>
      <c r="H84" s="177">
        <f>'[6]Final prices'!H84*1000/'[6]Final income'!H84</f>
        <v>2.5285915414843498</v>
      </c>
      <c r="I84" s="177">
        <f>'[6]Final prices'!I84*1000/'[6]Final income'!I84</f>
        <v>2.4475186735661989</v>
      </c>
      <c r="J84" s="177">
        <f>'[6]Final prices'!J84*1000/'[6]Final income'!J84</f>
        <v>2.4164341728709293</v>
      </c>
      <c r="K84" s="177">
        <f>'[6]Final prices'!K84*1000/'[6]Final income'!K84</f>
        <v>2.5503930733142566</v>
      </c>
      <c r="L84" s="177">
        <f>'[6]Final prices'!L84*1000/'[6]Final income'!L84</f>
        <v>2.9731567643596541</v>
      </c>
      <c r="M84" s="177">
        <f>'[6]Final prices'!M84*1000/'[6]Final income'!M84</f>
        <v>3.2711697336644088</v>
      </c>
      <c r="N84" s="177">
        <f>'[6]Final prices'!N84*1000/'[6]Final income'!N84</f>
        <v>3.5242693196831207</v>
      </c>
      <c r="O84" s="177">
        <f>'[6]Final prices'!O84*1000/'[6]Final income'!O84</f>
        <v>3.6777697353281766</v>
      </c>
      <c r="P84" s="177">
        <f>'[6]Final prices'!P84*1000/'[6]Final income'!P84</f>
        <v>3.9524264317749269</v>
      </c>
      <c r="Q84" s="177">
        <f>'[6]Final prices'!Q84*1000/'[6]Final income'!Q84</f>
        <v>4.8117903472972952</v>
      </c>
      <c r="R84" s="177">
        <f>'[6]Final prices'!R84*1000/'[6]Final income'!R84</f>
        <v>5.0889018342220851</v>
      </c>
      <c r="S84" s="177">
        <f>'[6]Final prices'!S84*1000/'[6]Final income'!S84</f>
        <v>4.5764617285140998</v>
      </c>
      <c r="T84" s="177">
        <f>'[6]Final prices'!T84*1000/'[6]Final income'!T84</f>
        <v>3.7539554369814079</v>
      </c>
      <c r="U84" s="177">
        <f>'[6]Final prices'!U84*1000/'[6]Final income'!U84</f>
        <v>3.1909528175662083</v>
      </c>
      <c r="V84" s="177">
        <f>'[6]Final prices'!V84*1000/'[6]Final income'!V84</f>
        <v>3.1177135464667707</v>
      </c>
      <c r="W84" s="177">
        <f>'[6]Final prices'!W84*1000/'[6]Final income'!W84</f>
        <v>2.9075630494781364</v>
      </c>
    </row>
    <row r="85" spans="1:23">
      <c r="A85" s="65" t="s">
        <v>185</v>
      </c>
      <c r="B85" s="177">
        <f>'[6]Final prices'!B85*1000/'[6]Final income'!B85</f>
        <v>2.0788550354797626</v>
      </c>
      <c r="C85" s="177">
        <f>'[6]Final prices'!C85*1000/'[6]Final income'!C85</f>
        <v>2.3066244364551465</v>
      </c>
      <c r="D85" s="177">
        <f>'[6]Final prices'!D85*1000/'[6]Final income'!D85</f>
        <v>2.2876307737977948</v>
      </c>
      <c r="E85" s="177">
        <f>'[6]Final prices'!E85*1000/'[6]Final income'!E85</f>
        <v>2.3064127709627167</v>
      </c>
      <c r="F85" s="177">
        <f>'[6]Final prices'!F85*1000/'[6]Final income'!F85</f>
        <v>2.3183579573754529</v>
      </c>
      <c r="G85" s="177">
        <f>'[6]Final prices'!G85*1000/'[6]Final income'!G85</f>
        <v>2.2121996906546282</v>
      </c>
      <c r="H85" s="177">
        <f>'[6]Final prices'!H85*1000/'[6]Final income'!H85</f>
        <v>2.4773023629976763</v>
      </c>
      <c r="I85" s="177">
        <f>'[6]Final prices'!I85*1000/'[6]Final income'!I85</f>
        <v>2.3927354055806545</v>
      </c>
      <c r="J85" s="177">
        <f>'[6]Final prices'!J85*1000/'[6]Final income'!J85</f>
        <v>2.3913671011068365</v>
      </c>
      <c r="K85" s="177">
        <f>'[6]Final prices'!K85*1000/'[6]Final income'!K85</f>
        <v>2.4715751677044007</v>
      </c>
      <c r="L85" s="177">
        <f>'[6]Final prices'!L85*1000/'[6]Final income'!L85</f>
        <v>2.5862797292134507</v>
      </c>
      <c r="M85" s="177">
        <f>'[6]Final prices'!M85*1000/'[6]Final income'!M85</f>
        <v>2.8025873214446526</v>
      </c>
      <c r="N85" s="177">
        <f>'[6]Final prices'!N85*1000/'[6]Final income'!N85</f>
        <v>2.7360101270938464</v>
      </c>
      <c r="O85" s="177">
        <f>'[6]Final prices'!O85*1000/'[6]Final income'!O85</f>
        <v>2.7469262946262698</v>
      </c>
      <c r="P85" s="177">
        <f>'[6]Final prices'!P85*1000/'[6]Final income'!P85</f>
        <v>2.7537426540532701</v>
      </c>
      <c r="Q85" s="177">
        <f>'[6]Final prices'!Q85*1000/'[6]Final income'!Q85</f>
        <v>2.757283427337581</v>
      </c>
      <c r="R85" s="177">
        <f>'[6]Final prices'!R85*1000/'[6]Final income'!R85</f>
        <v>2.5291542786356827</v>
      </c>
      <c r="S85" s="177">
        <f>'[6]Final prices'!S85*1000/'[6]Final income'!S85</f>
        <v>2.3268425503773322</v>
      </c>
      <c r="T85" s="177">
        <f>'[6]Final prices'!T85*1000/'[6]Final income'!T85</f>
        <v>1.9935769462111907</v>
      </c>
      <c r="U85" s="177">
        <f>'[6]Final prices'!U85*1000/'[6]Final income'!U85</f>
        <v>1.8906692010334583</v>
      </c>
      <c r="V85" s="177">
        <f>'[6]Final prices'!V85*1000/'[6]Final income'!V85</f>
        <v>1.8843403315718616</v>
      </c>
      <c r="W85" s="177">
        <f>'[6]Final prices'!W85*1000/'[6]Final income'!W85</f>
        <v>1.7127985190845125</v>
      </c>
    </row>
    <row r="86" spans="1:23">
      <c r="A86" s="65" t="s">
        <v>186</v>
      </c>
      <c r="B86" s="177" t="s">
        <v>25</v>
      </c>
      <c r="C86" s="177" t="s">
        <v>25</v>
      </c>
      <c r="D86" s="177">
        <f>'[6]Final prices'!D86*1000/'[6]Final income'!D86</f>
        <v>3.0583269069402852</v>
      </c>
      <c r="E86" s="177">
        <f>'[6]Final prices'!E86*1000/'[6]Final income'!E86</f>
        <v>3.1282051482065856</v>
      </c>
      <c r="F86" s="177">
        <f>'[6]Final prices'!F86*1000/'[6]Final income'!F86</f>
        <v>3.2711871179865231</v>
      </c>
      <c r="G86" s="177">
        <f>'[6]Final prices'!G86*1000/'[6]Final income'!G86</f>
        <v>3.4545056550935378</v>
      </c>
      <c r="H86" s="177">
        <f>'[6]Final prices'!H86*1000/'[6]Final income'!H86</f>
        <v>3.4847983104465818</v>
      </c>
      <c r="I86" s="177">
        <f>'[6]Final prices'!I86*1000/'[6]Final income'!I86</f>
        <v>3.3785587940070902</v>
      </c>
      <c r="J86" s="177">
        <f>'[6]Final prices'!J86*1000/'[6]Final income'!J86</f>
        <v>3.0874101498165252</v>
      </c>
      <c r="K86" s="177">
        <f>'[6]Final prices'!K86*1000/'[6]Final income'!K86</f>
        <v>3.1863812826155198</v>
      </c>
      <c r="L86" s="177">
        <f>'[6]Final prices'!L86*1000/'[6]Final income'!L86</f>
        <v>3.2548157467191148</v>
      </c>
      <c r="M86" s="177">
        <f>'[6]Final prices'!M86*1000/'[6]Final income'!M86</f>
        <v>3.4093022683633372</v>
      </c>
      <c r="N86" s="177">
        <f>'[6]Final prices'!N86*1000/'[6]Final income'!N86</f>
        <v>3.8811022085206233</v>
      </c>
      <c r="O86" s="177">
        <f>'[6]Final prices'!O86*1000/'[6]Final income'!O86</f>
        <v>4.2027147117822734</v>
      </c>
      <c r="P86" s="177">
        <f>'[6]Final prices'!P86*1000/'[6]Final income'!P86</f>
        <v>4.643459443085499</v>
      </c>
      <c r="Q86" s="177">
        <f>'[6]Final prices'!Q86*1000/'[6]Final income'!Q86</f>
        <v>5.6413084044243398</v>
      </c>
      <c r="R86" s="177">
        <f>'[6]Final prices'!R86*1000/'[6]Final income'!R86</f>
        <v>5.6391350767196551</v>
      </c>
      <c r="S86" s="177">
        <f>'[6]Final prices'!S86*1000/'[6]Final income'!S86</f>
        <v>5.3429242053134613</v>
      </c>
      <c r="T86" s="177">
        <f>'[6]Final prices'!T86*1000/'[6]Final income'!T86</f>
        <v>4.4573235307563905</v>
      </c>
      <c r="U86" s="177">
        <f>'[6]Final prices'!U86*1000/'[6]Final income'!U86</f>
        <v>3.9481930131046825</v>
      </c>
      <c r="V86" s="177">
        <f>'[6]Final prices'!V86*1000/'[6]Final income'!V86</f>
        <v>3.5611377920097995</v>
      </c>
      <c r="W86" s="177">
        <f>'[6]Final prices'!W86*1000/'[6]Final income'!W86</f>
        <v>3.0288868933122548</v>
      </c>
    </row>
    <row r="87" spans="1:23">
      <c r="A87" s="65" t="s">
        <v>187</v>
      </c>
      <c r="B87" s="177">
        <f>'[6]Final prices'!B87*1000/'[6]Final income'!B87</f>
        <v>2.3047187199711532</v>
      </c>
      <c r="C87" s="177">
        <f>'[6]Final prices'!C87*1000/'[6]Final income'!C87</f>
        <v>2.258462538586532</v>
      </c>
      <c r="D87" s="177">
        <f>'[6]Final prices'!D87*1000/'[6]Final income'!D87</f>
        <v>2.3715292038106019</v>
      </c>
      <c r="E87" s="177">
        <f>'[6]Final prices'!E87*1000/'[6]Final income'!E87</f>
        <v>2.3755745180083658</v>
      </c>
      <c r="F87" s="177">
        <f>'[6]Final prices'!F87*1000/'[6]Final income'!F87</f>
        <v>2.4023558854340341</v>
      </c>
      <c r="G87" s="177">
        <f>'[6]Final prices'!G87*1000/'[6]Final income'!G87</f>
        <v>2.5910978275993428</v>
      </c>
      <c r="H87" s="177">
        <f>'[6]Final prices'!H87*1000/'[6]Final income'!H87</f>
        <v>2.6110496895036057</v>
      </c>
      <c r="I87" s="177">
        <f>'[6]Final prices'!I87*1000/'[6]Final income'!I87</f>
        <v>2.3599456450313721</v>
      </c>
      <c r="J87" s="177">
        <f>'[6]Final prices'!J87*1000/'[6]Final income'!J87</f>
        <v>2.3210815486832725</v>
      </c>
      <c r="K87" s="177">
        <f>'[6]Final prices'!K87*1000/'[6]Final income'!K87</f>
        <v>2.4548636543879554</v>
      </c>
      <c r="L87" s="177">
        <f>'[6]Final prices'!L87*1000/'[6]Final income'!L87</f>
        <v>2.5740815100445613</v>
      </c>
      <c r="M87" s="177">
        <f>'[6]Final prices'!M87*1000/'[6]Final income'!M87</f>
        <v>2.6536134940878262</v>
      </c>
      <c r="N87" s="177">
        <f>'[6]Final prices'!N87*1000/'[6]Final income'!N87</f>
        <v>2.652620259533359</v>
      </c>
      <c r="O87" s="177">
        <f>'[6]Final prices'!O87*1000/'[6]Final income'!O87</f>
        <v>2.7902909140674885</v>
      </c>
      <c r="P87" s="177">
        <f>'[6]Final prices'!P87*1000/'[6]Final income'!P87</f>
        <v>2.8526159739849999</v>
      </c>
      <c r="Q87" s="177">
        <f>'[6]Final prices'!Q87*1000/'[6]Final income'!Q87</f>
        <v>2.8975397507631384</v>
      </c>
      <c r="R87" s="177">
        <f>'[6]Final prices'!R87*1000/'[6]Final income'!R87</f>
        <v>2.9166784496879492</v>
      </c>
      <c r="S87" s="177">
        <f>'[6]Final prices'!S87*1000/'[6]Final income'!S87</f>
        <v>2.8028223438570072</v>
      </c>
      <c r="T87" s="177">
        <f>'[6]Final prices'!T87*1000/'[6]Final income'!T87</f>
        <v>2.7777907619520246</v>
      </c>
      <c r="U87" s="177">
        <f>'[6]Final prices'!U87*1000/'[6]Final income'!U87</f>
        <v>2.8215764336696885</v>
      </c>
      <c r="V87" s="177">
        <f>'[6]Final prices'!V87*1000/'[6]Final income'!V87</f>
        <v>2.8536499627044112</v>
      </c>
      <c r="W87" s="177">
        <f>'[6]Final prices'!W87*1000/'[6]Final income'!W87</f>
        <v>2.6303561763236876</v>
      </c>
    </row>
    <row r="88" spans="1:23">
      <c r="A88" s="65" t="s">
        <v>188</v>
      </c>
      <c r="B88" s="177" t="s">
        <v>25</v>
      </c>
      <c r="C88" s="177">
        <f>'[6]Final prices'!C88*1000/'[6]Final income'!C88</f>
        <v>2.7391389839821803</v>
      </c>
      <c r="D88" s="177">
        <f>'[6]Final prices'!D88*1000/'[6]Final income'!D88</f>
        <v>2.6812725948571146</v>
      </c>
      <c r="E88" s="177">
        <f>'[6]Final prices'!E88*1000/'[6]Final income'!E88</f>
        <v>2.9148843280297387</v>
      </c>
      <c r="F88" s="177">
        <f>'[6]Final prices'!F88*1000/'[6]Final income'!F88</f>
        <v>2.948751006015196</v>
      </c>
      <c r="G88" s="177">
        <f>'[6]Final prices'!G88*1000/'[6]Final income'!G88</f>
        <v>3.039506486322225</v>
      </c>
      <c r="H88" s="177">
        <f>'[6]Final prices'!H88*1000/'[6]Final income'!H88</f>
        <v>2.9305890885749788</v>
      </c>
      <c r="I88" s="177">
        <f>'[6]Final prices'!I88*1000/'[6]Final income'!I88</f>
        <v>2.6008385027198679</v>
      </c>
      <c r="J88" s="177">
        <f>'[6]Final prices'!J88*1000/'[6]Final income'!J88</f>
        <v>2.646109898287182</v>
      </c>
      <c r="K88" s="177">
        <f>'[6]Final prices'!K88*1000/'[6]Final income'!K88</f>
        <v>2.6303714427644844</v>
      </c>
      <c r="L88" s="177">
        <f>'[6]Final prices'!L88*1000/'[6]Final income'!L88</f>
        <v>2.7116913353782239</v>
      </c>
      <c r="M88" s="177">
        <f>'[6]Final prices'!M88*1000/'[6]Final income'!M88</f>
        <v>2.8495456065959561</v>
      </c>
      <c r="N88" s="177" t="s">
        <v>25</v>
      </c>
      <c r="O88" s="177">
        <f>'[6]Final prices'!O88*1000/'[6]Final income'!O88</f>
        <v>3.1541788961721804</v>
      </c>
      <c r="P88" s="177">
        <f>'[6]Final prices'!P88*1000/'[6]Final income'!P88</f>
        <v>3.6436406847995855</v>
      </c>
      <c r="Q88" s="177">
        <f>'[6]Final prices'!Q88*1000/'[6]Final income'!Q88</f>
        <v>4.2663987075693557</v>
      </c>
      <c r="R88" s="177">
        <f>'[6]Final prices'!R88*1000/'[6]Final income'!R88</f>
        <v>4.8528854319958175</v>
      </c>
      <c r="S88" s="177">
        <f>'[6]Final prices'!S88*1000/'[6]Final income'!S88</f>
        <v>4.7921083478371118</v>
      </c>
      <c r="T88" s="177">
        <f>'[6]Final prices'!T88*1000/'[6]Final income'!T88</f>
        <v>4.2402244042134969</v>
      </c>
      <c r="U88" s="177">
        <f>'[6]Final prices'!U88*1000/'[6]Final income'!U88</f>
        <v>4.1795144035209031</v>
      </c>
      <c r="V88" s="177">
        <f>'[6]Final prices'!V88*1000/'[6]Final income'!V88</f>
        <v>4.0266209495803649</v>
      </c>
      <c r="W88" s="177">
        <f>'[6]Final prices'!W88*1000/'[6]Final income'!W88</f>
        <v>3.4252538710777696</v>
      </c>
    </row>
    <row r="89" spans="1:23">
      <c r="A89" s="65" t="s">
        <v>189</v>
      </c>
      <c r="B89" s="177">
        <f>'[6]Final prices'!B89*1000/'[6]Final income'!B89</f>
        <v>3.0016506746224145</v>
      </c>
      <c r="C89" s="177">
        <f>'[6]Final prices'!C89*1000/'[6]Final income'!C89</f>
        <v>3.1213378639553069</v>
      </c>
      <c r="D89" s="177">
        <f>'[6]Final prices'!D89*1000/'[6]Final income'!D89</f>
        <v>3.0559852820299542</v>
      </c>
      <c r="E89" s="177">
        <f>'[6]Final prices'!E89*1000/'[6]Final income'!E89</f>
        <v>3.0679137641649161</v>
      </c>
      <c r="F89" s="177">
        <f>'[6]Final prices'!F89*1000/'[6]Final income'!F89</f>
        <v>3.0108237928822574</v>
      </c>
      <c r="G89" s="177">
        <f>'[6]Final prices'!G89*1000/'[6]Final income'!G89</f>
        <v>2.9690927640741251</v>
      </c>
      <c r="H89" s="177">
        <f>'[6]Final prices'!H89*1000/'[6]Final income'!H89</f>
        <v>2.8432902354061236</v>
      </c>
      <c r="I89" s="177">
        <f>'[6]Final prices'!I89*1000/'[6]Final income'!I89</f>
        <v>2.7517728708310289</v>
      </c>
      <c r="J89" s="177">
        <f>'[6]Final prices'!J89*1000/'[6]Final income'!J89</f>
        <v>2.7269923960494595</v>
      </c>
      <c r="K89" s="177">
        <f>'[6]Final prices'!K89*1000/'[6]Final income'!K89</f>
        <v>2.6809122464913355</v>
      </c>
      <c r="L89" s="177">
        <f>'[6]Final prices'!L89*1000/'[6]Final income'!L89</f>
        <v>2.6745062258166499</v>
      </c>
      <c r="M89" s="177">
        <f>'[6]Final prices'!M89*1000/'[6]Final income'!M89</f>
        <v>3.0059209432809153</v>
      </c>
      <c r="N89" s="177">
        <f>'[6]Final prices'!N89*1000/'[6]Final income'!N89</f>
        <v>3.4832843636472122</v>
      </c>
      <c r="O89" s="177">
        <f>'[6]Final prices'!O89*1000/'[6]Final income'!O89</f>
        <v>3.8799636667376203</v>
      </c>
      <c r="P89" s="177">
        <f>'[6]Final prices'!P89*1000/'[6]Final income'!P89</f>
        <v>4.627998711234647</v>
      </c>
      <c r="Q89" s="177">
        <f>'[6]Final prices'!Q89*1000/'[6]Final income'!Q89</f>
        <v>5.4867787447137069</v>
      </c>
      <c r="R89" s="177">
        <f>'[6]Final prices'!R89*1000/'[6]Final income'!R89</f>
        <v>5.3059547016476323</v>
      </c>
      <c r="S89" s="177">
        <f>'[6]Final prices'!S89*1000/'[6]Final income'!S89</f>
        <v>4.9852516869091668</v>
      </c>
      <c r="T89" s="177">
        <f>'[6]Final prices'!T89*1000/'[6]Final income'!T89</f>
        <v>3.8567113632899783</v>
      </c>
      <c r="U89" s="177">
        <f>'[6]Final prices'!U89*1000/'[6]Final income'!U89</f>
        <v>3.527910906716158</v>
      </c>
      <c r="V89" s="177">
        <f>'[6]Final prices'!V89*1000/'[6]Final income'!V89</f>
        <v>3.6795444474988539</v>
      </c>
      <c r="W89" s="177">
        <f>'[6]Final prices'!W89*1000/'[6]Final income'!W89</f>
        <v>3.5338675808517639</v>
      </c>
    </row>
    <row r="90" spans="1:23">
      <c r="A90" s="65" t="s">
        <v>190</v>
      </c>
      <c r="B90" s="177">
        <f>'[6]Final prices'!B90*1000/'[6]Final income'!B90</f>
        <v>1.9174470428958379</v>
      </c>
      <c r="C90" s="177">
        <f>'[6]Final prices'!C90*1000/'[6]Final income'!C90</f>
        <v>2.0433394471322548</v>
      </c>
      <c r="D90" s="177">
        <f>'[6]Final prices'!D90*1000/'[6]Final income'!D90</f>
        <v>2.0410816322261911</v>
      </c>
      <c r="E90" s="177">
        <f>'[6]Final prices'!E90*1000/'[6]Final income'!E90</f>
        <v>2.1459488107273086</v>
      </c>
      <c r="F90" s="177">
        <f>'[6]Final prices'!F90*1000/'[6]Final income'!F90</f>
        <v>2.3146882418685837</v>
      </c>
      <c r="G90" s="177">
        <f>'[6]Final prices'!G90*1000/'[6]Final income'!G90</f>
        <v>2.2294308082376451</v>
      </c>
      <c r="H90" s="177">
        <f>'[6]Final prices'!H90*1000/'[6]Final income'!H90</f>
        <v>2.1811486283440167</v>
      </c>
      <c r="I90" s="177">
        <f>'[6]Final prices'!I90*1000/'[6]Final income'!I90</f>
        <v>1.9899584932166026</v>
      </c>
      <c r="J90" s="177">
        <f>'[6]Final prices'!J90*1000/'[6]Final income'!J90</f>
        <v>2.104564628529431</v>
      </c>
      <c r="K90" s="177">
        <f>'[6]Final prices'!K90*1000/'[6]Final income'!K90</f>
        <v>2.145805753898141</v>
      </c>
      <c r="L90" s="177">
        <f>'[6]Final prices'!L90*1000/'[6]Final income'!L90</f>
        <v>2.1516512301551529</v>
      </c>
      <c r="M90" s="177">
        <f>'[6]Final prices'!M90*1000/'[6]Final income'!M90</f>
        <v>2.2736346868579784</v>
      </c>
      <c r="N90" s="177">
        <f>'[6]Final prices'!N90*1000/'[6]Final income'!N90</f>
        <v>2.3733181312879492</v>
      </c>
      <c r="O90" s="177">
        <f>'[6]Final prices'!O90*1000/'[6]Final income'!O90</f>
        <v>2.3627481966636212</v>
      </c>
      <c r="P90" s="177">
        <f>'[6]Final prices'!P90*1000/'[6]Final income'!P90</f>
        <v>2.4109024120710094</v>
      </c>
      <c r="Q90" s="177">
        <f>'[6]Final prices'!Q90*1000/'[6]Final income'!Q90</f>
        <v>2.4820075886130368</v>
      </c>
      <c r="R90" s="177">
        <f>'[6]Final prices'!R90*1000/'[6]Final income'!R90</f>
        <v>2.4256474858298516</v>
      </c>
      <c r="S90" s="177">
        <f>'[6]Final prices'!S90*1000/'[6]Final income'!S90</f>
        <v>2.4445044187913698</v>
      </c>
      <c r="T90" s="177">
        <f>'[6]Final prices'!T90*1000/'[6]Final income'!T90</f>
        <v>2.4274638057592215</v>
      </c>
      <c r="U90" s="177">
        <f>'[6]Final prices'!U90*1000/'[6]Final income'!U90</f>
        <v>2.4727469281655412</v>
      </c>
      <c r="V90" s="177">
        <f>'[6]Final prices'!V90*1000/'[6]Final income'!V90</f>
        <v>2.4812016756529864</v>
      </c>
      <c r="W90" s="177">
        <f>'[6]Final prices'!W90*1000/'[6]Final income'!W90</f>
        <v>2.3163554552513692</v>
      </c>
    </row>
    <row r="91" spans="1:23">
      <c r="A91" s="65" t="s">
        <v>191</v>
      </c>
      <c r="B91" s="177">
        <f>'[6]Final prices'!B91*1000/'[6]Final income'!B91</f>
        <v>3.7910316949117857</v>
      </c>
      <c r="C91" s="177">
        <f>'[6]Final prices'!C91*1000/'[6]Final income'!C91</f>
        <v>3.5816966440413398</v>
      </c>
      <c r="D91" s="177">
        <f>'[6]Final prices'!D91*1000/'[6]Final income'!D91</f>
        <v>3.4314946975113587</v>
      </c>
      <c r="E91" s="177">
        <f>'[6]Final prices'!E91*1000/'[6]Final income'!E91</f>
        <v>3.3467010267399777</v>
      </c>
      <c r="F91" s="177">
        <f>'[6]Final prices'!F91*1000/'[6]Final income'!F91</f>
        <v>3.0857403506559229</v>
      </c>
      <c r="G91" s="177">
        <f>'[6]Final prices'!G91*1000/'[6]Final income'!G91</f>
        <v>3.1886859234165157</v>
      </c>
      <c r="H91" s="177">
        <f>'[6]Final prices'!H91*1000/'[6]Final income'!H91</f>
        <v>3.0758545537404904</v>
      </c>
      <c r="I91" s="177">
        <f>'[6]Final prices'!I91*1000/'[6]Final income'!I91</f>
        <v>2.9754466092638849</v>
      </c>
      <c r="J91" s="177">
        <f>'[6]Final prices'!J91*1000/'[6]Final income'!J91</f>
        <v>2.9933078729394826</v>
      </c>
      <c r="K91" s="177" t="s">
        <v>25</v>
      </c>
      <c r="L91" s="177">
        <f>'[6]Final prices'!L91*1000/'[6]Final income'!L91</f>
        <v>2.7223716498260591</v>
      </c>
      <c r="M91" s="177">
        <f>'[6]Final prices'!M91*1000/'[6]Final income'!M91</f>
        <v>2.9626914367034773</v>
      </c>
      <c r="N91" s="177">
        <f>'[6]Final prices'!N91*1000/'[6]Final income'!N91</f>
        <v>4.1319470693878655</v>
      </c>
      <c r="O91" s="177">
        <f>'[6]Final prices'!O91*1000/'[6]Final income'!O91</f>
        <v>4.7022726396488386</v>
      </c>
      <c r="P91" s="177">
        <f>'[6]Final prices'!P91*1000/'[6]Final income'!P91</f>
        <v>4.9324435902895543</v>
      </c>
      <c r="Q91" s="177">
        <f>'[6]Final prices'!Q91*1000/'[6]Final income'!Q91</f>
        <v>5.079734433745605</v>
      </c>
      <c r="R91" s="177">
        <f>'[6]Final prices'!R91*1000/'[6]Final income'!R91</f>
        <v>4.7002426470441936</v>
      </c>
      <c r="S91" s="177">
        <f>'[6]Final prices'!S91*1000/'[6]Final income'!S91</f>
        <v>4.3806910003844166</v>
      </c>
      <c r="T91" s="177">
        <f>'[6]Final prices'!T91*1000/'[6]Final income'!T91</f>
        <v>3.5868066788360142</v>
      </c>
      <c r="U91" s="177">
        <f>'[6]Final prices'!U91*1000/'[6]Final income'!U91</f>
        <v>3.327777603570524</v>
      </c>
      <c r="V91" s="177">
        <f>'[6]Final prices'!V91*1000/'[6]Final income'!V91</f>
        <v>3.5921951391224791</v>
      </c>
      <c r="W91" s="177">
        <f>'[6]Final prices'!W91*1000/'[6]Final income'!W91</f>
        <v>3.3020062676020592</v>
      </c>
    </row>
    <row r="92" spans="1:23">
      <c r="A92" s="65" t="s">
        <v>192</v>
      </c>
      <c r="B92" s="177">
        <f>'[6]Final prices'!B92*1000/'[6]Final income'!B92</f>
        <v>1.915193301871648</v>
      </c>
      <c r="C92" s="177">
        <f>'[6]Final prices'!C92*1000/'[6]Final income'!C92</f>
        <v>2.0410356577814053</v>
      </c>
      <c r="D92" s="177">
        <f>'[6]Final prices'!D92*1000/'[6]Final income'!D92</f>
        <v>2.0477711741555065</v>
      </c>
      <c r="E92" s="177">
        <f>'[6]Final prices'!E92*1000/'[6]Final income'!E92</f>
        <v>2.1606396503698635</v>
      </c>
      <c r="F92" s="177">
        <f>'[6]Final prices'!F92*1000/'[6]Final income'!F92</f>
        <v>2.1861395291992167</v>
      </c>
      <c r="G92" s="177">
        <f>'[6]Final prices'!G92*1000/'[6]Final income'!G92</f>
        <v>2.0295513175767748</v>
      </c>
      <c r="H92" s="177">
        <f>'[6]Final prices'!H92*1000/'[6]Final income'!H92</f>
        <v>2.2114731637619252</v>
      </c>
      <c r="I92" s="177">
        <f>'[6]Final prices'!I92*1000/'[6]Final income'!I92</f>
        <v>2.188475104244215</v>
      </c>
      <c r="J92" s="177">
        <f>'[6]Final prices'!J92*1000/'[6]Final income'!J92</f>
        <v>2.1227380358232186</v>
      </c>
      <c r="K92" s="177">
        <f>'[6]Final prices'!K92*1000/'[6]Final income'!K92</f>
        <v>2.0677190391640461</v>
      </c>
      <c r="L92" s="177">
        <f>'[6]Final prices'!L92*1000/'[6]Final income'!L92</f>
        <v>2.033065376384716</v>
      </c>
      <c r="M92" s="177">
        <f>'[6]Final prices'!M92*1000/'[6]Final income'!M92</f>
        <v>2.2625900202675102</v>
      </c>
      <c r="N92" s="177">
        <f>'[6]Final prices'!N92*1000/'[6]Final income'!N92</f>
        <v>2.3519276314114279</v>
      </c>
      <c r="O92" s="177">
        <f>'[6]Final prices'!O92*1000/'[6]Final income'!O92</f>
        <v>2.3663054406075217</v>
      </c>
      <c r="P92" s="177">
        <f>'[6]Final prices'!P92*1000/'[6]Final income'!P92</f>
        <v>2.3248977503124562</v>
      </c>
      <c r="Q92" s="177">
        <f>'[6]Final prices'!Q92*1000/'[6]Final income'!Q92</f>
        <v>2.2410307719984313</v>
      </c>
      <c r="R92" s="177">
        <f>'[6]Final prices'!R92*1000/'[6]Final income'!R92</f>
        <v>2.0714003246885091</v>
      </c>
      <c r="S92" s="177">
        <f>'[6]Final prices'!S92*1000/'[6]Final income'!S92</f>
        <v>1.8901758542734548</v>
      </c>
      <c r="T92" s="177">
        <f>'[6]Final prices'!T92*1000/'[6]Final income'!T92</f>
        <v>1.6579758270253189</v>
      </c>
      <c r="U92" s="177">
        <f>'[6]Final prices'!U92*1000/'[6]Final income'!U92</f>
        <v>1.6873745554146846</v>
      </c>
      <c r="V92" s="177">
        <f>'[6]Final prices'!V92*1000/'[6]Final income'!V92</f>
        <v>1.7208941863490084</v>
      </c>
      <c r="W92" s="177">
        <f>'[6]Final prices'!W92*1000/'[6]Final income'!W92</f>
        <v>1.7606356599016286</v>
      </c>
    </row>
    <row r="94" spans="1:23">
      <c r="A94" s="65" t="s">
        <v>104</v>
      </c>
    </row>
    <row r="95" spans="1:23">
      <c r="A95" s="65" t="s">
        <v>303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List of Appendix Tables</vt:lpstr>
      <vt:lpstr>A-1</vt:lpstr>
      <vt:lpstr>A-2</vt:lpstr>
      <vt:lpstr>A-3</vt:lpstr>
      <vt:lpstr>A-4</vt:lpstr>
      <vt:lpstr>A-5</vt:lpstr>
      <vt:lpstr>A-6</vt:lpstr>
      <vt:lpstr>W-1</vt:lpstr>
      <vt:lpstr>W-2</vt:lpstr>
      <vt:lpstr>W-3</vt:lpstr>
      <vt:lpstr>W-4</vt:lpstr>
      <vt:lpstr>W-5</vt:lpstr>
      <vt:lpstr>W-6</vt:lpstr>
      <vt:lpstr>W-7</vt:lpstr>
      <vt:lpstr>W-8</vt:lpstr>
      <vt:lpstr>W-9</vt:lpstr>
      <vt:lpstr>'A-1'!Print_Area</vt:lpstr>
      <vt:lpstr>'A-2'!Print_Area</vt:lpstr>
      <vt:lpstr>'A-3'!Print_Area</vt:lpstr>
      <vt:lpstr>'A-4'!Print_Area</vt:lpstr>
      <vt:lpstr>'A-5'!Print_Area</vt:lpstr>
      <vt:lpstr>'A-6'!Print_Area</vt:lpstr>
      <vt:lpstr>'List of Appendix Tables'!Print_Area</vt:lpstr>
      <vt:lpstr>'W-1'!Print_Area</vt:lpstr>
      <vt:lpstr>'W-4'!Print_Area</vt:lpstr>
      <vt:lpstr>'W-5'!Print_Area</vt:lpstr>
      <vt:lpstr>'W-1'!Print_Titles</vt:lpstr>
    </vt:vector>
  </TitlesOfParts>
  <Company>Harvard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Sanchez-Moyano</dc:creator>
  <cp:lastModifiedBy>kerry</cp:lastModifiedBy>
  <cp:lastPrinted>2012-06-07T14:05:02Z</cp:lastPrinted>
  <dcterms:created xsi:type="dcterms:W3CDTF">2012-04-18T18:22:10Z</dcterms:created>
  <dcterms:modified xsi:type="dcterms:W3CDTF">2012-06-11T13:45:32Z</dcterms:modified>
</cp:coreProperties>
</file>