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4095" yWindow="-360" windowWidth="20895" windowHeight="11715" activeTab="17"/>
  </bookViews>
  <sheets>
    <sheet name="AppendixTables" sheetId="1" r:id="rId1"/>
    <sheet name="A-1" sheetId="17" r:id="rId2"/>
    <sheet name="A-2" sheetId="2" r:id="rId3"/>
    <sheet name="A-3" sheetId="6" r:id="rId4"/>
    <sheet name="A-4" sheetId="21" r:id="rId5"/>
    <sheet name="A-5" sheetId="7" r:id="rId6"/>
    <sheet name="A-6" sheetId="8" r:id="rId7"/>
    <sheet name="A-7" sheetId="24" r:id="rId8"/>
    <sheet name="W-1" sheetId="4" r:id="rId9"/>
    <sheet name="W-2" sheetId="11" r:id="rId10"/>
    <sheet name="W-3" sheetId="15" r:id="rId11"/>
    <sheet name="W-4" sheetId="13" r:id="rId12"/>
    <sheet name="W-5" sheetId="5" r:id="rId13"/>
    <sheet name="W-6" sheetId="22" r:id="rId14"/>
    <sheet name="W-7" sheetId="18" r:id="rId15"/>
    <sheet name="W-8" sheetId="20" r:id="rId16"/>
    <sheet name="W-9" sheetId="9" r:id="rId17"/>
    <sheet name="W-10" sheetId="25" r:id="rId18"/>
  </sheets>
  <externalReferences>
    <externalReference r:id="rId19"/>
  </externalReferences>
  <definedNames>
    <definedName name="_xlnm.Print_Area" localSheetId="1">'A-1'!$A$1:$N$37</definedName>
    <definedName name="_xlnm.Print_Area" localSheetId="2">'A-2'!$A$34:$G$34</definedName>
    <definedName name="_xlnm.Print_Area" localSheetId="3">'A-3'!$A$1:$I$54</definedName>
    <definedName name="_xlnm.Print_Area" localSheetId="4">'A-4'!$B$1:$I$25</definedName>
    <definedName name="_xlnm.Print_Area" localSheetId="5">'A-5'!$A$1:$H$22</definedName>
    <definedName name="_xlnm.Print_Area" localSheetId="6">'A-6'!$A$1:$N$55</definedName>
    <definedName name="_xlnm.Print_Area" localSheetId="0">AppendixTables!$B$4:$C$20</definedName>
    <definedName name="_xlnm.Print_Area" localSheetId="17">'W-10'!$B$2:$K$32</definedName>
  </definedNames>
  <calcPr calcId="145621"/>
</workbook>
</file>

<file path=xl/calcChain.xml><?xml version="1.0" encoding="utf-8"?>
<calcChain xmlns="http://schemas.openxmlformats.org/spreadsheetml/2006/main">
  <c r="K28" i="25" l="1"/>
  <c r="J28" i="25"/>
  <c r="I28" i="25"/>
  <c r="H28" i="25"/>
  <c r="G28" i="25"/>
  <c r="F28" i="25"/>
  <c r="E28" i="25"/>
  <c r="D28" i="25"/>
  <c r="C28" i="25"/>
  <c r="K27" i="25"/>
  <c r="J27" i="25"/>
  <c r="I27" i="25"/>
  <c r="H27" i="25"/>
  <c r="G27" i="25"/>
  <c r="F27" i="25"/>
  <c r="E27" i="25"/>
  <c r="D27" i="25"/>
  <c r="C27" i="25"/>
  <c r="K26" i="25"/>
  <c r="J26" i="25"/>
  <c r="I26" i="25"/>
  <c r="H26" i="25"/>
  <c r="G26" i="25"/>
  <c r="F26" i="25"/>
  <c r="E26" i="25"/>
  <c r="D26" i="25"/>
  <c r="C26" i="25"/>
  <c r="K25" i="25"/>
  <c r="J25" i="25"/>
  <c r="I25" i="25"/>
  <c r="H25" i="25"/>
  <c r="G25" i="25"/>
  <c r="F25" i="25"/>
  <c r="E25" i="25"/>
  <c r="D25" i="25"/>
  <c r="C25" i="25"/>
  <c r="K22" i="25"/>
  <c r="J22" i="25"/>
  <c r="I22" i="25"/>
  <c r="H22" i="25"/>
  <c r="G22" i="25"/>
  <c r="F22" i="25"/>
  <c r="E22" i="25"/>
  <c r="D22" i="25"/>
  <c r="C22" i="25"/>
  <c r="K21" i="25"/>
  <c r="J21" i="25"/>
  <c r="I21" i="25"/>
  <c r="H21" i="25"/>
  <c r="G21" i="25"/>
  <c r="F21" i="25"/>
  <c r="E21" i="25"/>
  <c r="D21" i="25"/>
  <c r="C21" i="25"/>
  <c r="K20" i="25"/>
  <c r="J20" i="25"/>
  <c r="I20" i="25"/>
  <c r="H20" i="25"/>
  <c r="G20" i="25"/>
  <c r="F20" i="25"/>
  <c r="E20" i="25"/>
  <c r="D20" i="25"/>
  <c r="C20" i="25"/>
  <c r="K19" i="25"/>
  <c r="J19" i="25"/>
  <c r="I19" i="25"/>
  <c r="H19" i="25"/>
  <c r="G19" i="25"/>
  <c r="F19" i="25"/>
  <c r="E19" i="25"/>
  <c r="D19" i="25"/>
  <c r="C19" i="25"/>
  <c r="K16" i="25"/>
  <c r="J16" i="25"/>
  <c r="I16" i="25"/>
  <c r="H16" i="25"/>
  <c r="G16" i="25"/>
  <c r="F16" i="25"/>
  <c r="E16" i="25"/>
  <c r="D16" i="25"/>
  <c r="C16" i="25"/>
  <c r="K15" i="25"/>
  <c r="J15" i="25"/>
  <c r="I15" i="25"/>
  <c r="H15" i="25"/>
  <c r="G15" i="25"/>
  <c r="F15" i="25"/>
  <c r="E15" i="25"/>
  <c r="D15" i="25"/>
  <c r="C15" i="25"/>
  <c r="K14" i="25"/>
  <c r="J14" i="25"/>
  <c r="I14" i="25"/>
  <c r="H14" i="25"/>
  <c r="G14" i="25"/>
  <c r="F14" i="25"/>
  <c r="E14" i="25"/>
  <c r="D14" i="25"/>
  <c r="C14" i="25"/>
  <c r="K13" i="25"/>
  <c r="J13" i="25"/>
  <c r="I13" i="25"/>
  <c r="H13" i="25"/>
  <c r="G13" i="25"/>
  <c r="F13" i="25"/>
  <c r="E13" i="25"/>
  <c r="D13" i="25"/>
  <c r="C13" i="25"/>
  <c r="K10" i="25"/>
  <c r="J10" i="25"/>
  <c r="I10" i="25"/>
  <c r="H10" i="25"/>
  <c r="G10" i="25"/>
  <c r="F10" i="25"/>
  <c r="E10" i="25"/>
  <c r="D10" i="25"/>
  <c r="C10" i="25"/>
  <c r="K9" i="25"/>
  <c r="J9" i="25"/>
  <c r="I9" i="25"/>
  <c r="H9" i="25"/>
  <c r="G9" i="25"/>
  <c r="F9" i="25"/>
  <c r="E9" i="25"/>
  <c r="D9" i="25"/>
  <c r="C9" i="25"/>
  <c r="K8" i="25"/>
  <c r="J8" i="25"/>
  <c r="I8" i="25"/>
  <c r="H8" i="25"/>
  <c r="G8" i="25"/>
  <c r="F8" i="25"/>
  <c r="E8" i="25"/>
  <c r="D8" i="25"/>
  <c r="C8" i="25"/>
  <c r="K7" i="25"/>
  <c r="J7" i="25"/>
  <c r="I7" i="25"/>
  <c r="H7" i="25"/>
  <c r="G7" i="25"/>
  <c r="F7" i="25"/>
  <c r="E7" i="25"/>
  <c r="D7" i="25"/>
  <c r="C7" i="25"/>
  <c r="C51" i="6" l="1"/>
  <c r="D51" i="6"/>
  <c r="E51" i="6"/>
  <c r="F51" i="6"/>
  <c r="G51" i="6"/>
  <c r="H51" i="6"/>
  <c r="I51" i="6"/>
  <c r="I48" i="6"/>
  <c r="I47" i="6"/>
  <c r="I46" i="6"/>
  <c r="I39" i="6"/>
  <c r="I38" i="6"/>
  <c r="I37" i="6"/>
  <c r="I36" i="6"/>
  <c r="I35" i="6"/>
  <c r="I34" i="6"/>
  <c r="I33" i="6"/>
  <c r="I32" i="6"/>
  <c r="I31" i="6"/>
  <c r="I30" i="6"/>
  <c r="I29" i="6"/>
  <c r="I28" i="6"/>
  <c r="I27" i="6"/>
  <c r="I26" i="6"/>
  <c r="I22" i="6"/>
  <c r="I20" i="6"/>
  <c r="I19" i="6"/>
  <c r="I18" i="6"/>
  <c r="I16" i="6"/>
  <c r="I15" i="6"/>
  <c r="I14" i="6"/>
  <c r="I10" i="6"/>
  <c r="I9" i="6"/>
  <c r="I8" i="6"/>
  <c r="I7" i="6"/>
  <c r="I6" i="6"/>
  <c r="H15" i="22"/>
  <c r="G15" i="22"/>
  <c r="F15" i="22"/>
  <c r="E15" i="22"/>
  <c r="D15" i="22"/>
  <c r="C15" i="22"/>
  <c r="B15" i="22"/>
  <c r="H9" i="22"/>
  <c r="G9" i="22"/>
  <c r="F9" i="22"/>
  <c r="E9" i="22"/>
  <c r="D9" i="22"/>
  <c r="C9" i="22"/>
  <c r="B9" i="22"/>
  <c r="F27" i="11"/>
  <c r="E27" i="11"/>
  <c r="D27" i="11"/>
  <c r="C27" i="11"/>
  <c r="B27" i="11"/>
  <c r="F26" i="11"/>
  <c r="E26" i="11"/>
  <c r="D26" i="11"/>
  <c r="C26" i="11"/>
  <c r="B26" i="11"/>
  <c r="F25" i="11"/>
  <c r="E25" i="11"/>
  <c r="D25" i="11"/>
  <c r="C25" i="11"/>
  <c r="B25" i="11"/>
  <c r="F24" i="11"/>
  <c r="E24" i="11"/>
  <c r="D24" i="11"/>
  <c r="C24" i="11"/>
  <c r="B24" i="11"/>
  <c r="F21" i="11"/>
  <c r="E21" i="11"/>
  <c r="D21" i="11"/>
  <c r="C21" i="11"/>
  <c r="B21" i="11"/>
  <c r="F20" i="11"/>
  <c r="E20" i="11"/>
  <c r="D20" i="11"/>
  <c r="C20" i="11"/>
  <c r="B20" i="11"/>
  <c r="F19" i="11"/>
  <c r="E19" i="11"/>
  <c r="D19" i="11"/>
  <c r="C19" i="11"/>
  <c r="B19" i="11"/>
  <c r="F18" i="11"/>
  <c r="E18" i="11"/>
  <c r="D18" i="11"/>
  <c r="C18" i="11"/>
  <c r="B18" i="11"/>
  <c r="F15" i="11"/>
  <c r="E15" i="11"/>
  <c r="D15" i="11"/>
  <c r="C15" i="11"/>
  <c r="B15" i="11"/>
  <c r="F14" i="11"/>
  <c r="E14" i="11"/>
  <c r="D14" i="11"/>
  <c r="C14" i="11"/>
  <c r="B14" i="11"/>
  <c r="F13" i="11"/>
  <c r="E13" i="11"/>
  <c r="D13" i="11"/>
  <c r="C13" i="11"/>
  <c r="B13" i="11"/>
  <c r="F12" i="11"/>
  <c r="E12" i="11"/>
  <c r="D12" i="11"/>
  <c r="C12" i="11"/>
  <c r="B12" i="11"/>
  <c r="F11" i="11"/>
  <c r="E11" i="11"/>
  <c r="D11" i="11"/>
  <c r="C11" i="11"/>
  <c r="B11" i="11"/>
  <c r="F10" i="11"/>
  <c r="E10" i="11"/>
  <c r="D10" i="11"/>
  <c r="C10" i="11"/>
  <c r="B10" i="11"/>
  <c r="F7" i="11"/>
  <c r="E7" i="11"/>
  <c r="D7" i="11"/>
  <c r="C7" i="11"/>
  <c r="B7" i="11"/>
  <c r="F58" i="8"/>
</calcChain>
</file>

<file path=xl/sharedStrings.xml><?xml version="1.0" encoding="utf-8"?>
<sst xmlns="http://schemas.openxmlformats.org/spreadsheetml/2006/main" count="688" uniqueCount="410">
  <si>
    <t>Table A-1</t>
  </si>
  <si>
    <t>Table A-2</t>
  </si>
  <si>
    <t>Table A-3</t>
  </si>
  <si>
    <t>Table A-4</t>
  </si>
  <si>
    <t>Table A-5</t>
  </si>
  <si>
    <t>Table A-6</t>
  </si>
  <si>
    <t>Mobile Home</t>
  </si>
  <si>
    <t>Total</t>
  </si>
  <si>
    <t>Central City</t>
  </si>
  <si>
    <t>MSA (Suburb)</t>
  </si>
  <si>
    <t>non-MSA (Rural)</t>
  </si>
  <si>
    <t>Age of Householder</t>
  </si>
  <si>
    <t>White, NH</t>
  </si>
  <si>
    <t>Black, NH</t>
  </si>
  <si>
    <t>Hispanic</t>
  </si>
  <si>
    <t>Asian / Other</t>
  </si>
  <si>
    <t>Education of Householder</t>
  </si>
  <si>
    <t xml:space="preserve">Less than High School </t>
  </si>
  <si>
    <t>High School Graduate</t>
  </si>
  <si>
    <t>Some College</t>
  </si>
  <si>
    <t>Household Type</t>
  </si>
  <si>
    <t>Married without Children</t>
  </si>
  <si>
    <t>Married with Children</t>
  </si>
  <si>
    <t>Single Parent</t>
  </si>
  <si>
    <t>Other Family</t>
  </si>
  <si>
    <t>Single Person</t>
  </si>
  <si>
    <t>Household Income Quartile</t>
  </si>
  <si>
    <t>Bottom</t>
  </si>
  <si>
    <t>Top</t>
  </si>
  <si>
    <t>All Households</t>
  </si>
  <si>
    <t xml:space="preserve">    Occupied</t>
  </si>
  <si>
    <t xml:space="preserve">    Vacant</t>
  </si>
  <si>
    <t>No Cash Rentals</t>
  </si>
  <si>
    <t>Rent Level</t>
  </si>
  <si>
    <t>Under $400</t>
  </si>
  <si>
    <t>Year Built</t>
  </si>
  <si>
    <t>Census Region</t>
  </si>
  <si>
    <t>Northeast</t>
  </si>
  <si>
    <t>Midwest</t>
  </si>
  <si>
    <t>South</t>
  </si>
  <si>
    <t>West</t>
  </si>
  <si>
    <t>Metro Area Status</t>
  </si>
  <si>
    <t>Less than $400</t>
  </si>
  <si>
    <t>No Cash Rent</t>
  </si>
  <si>
    <t>Unit Size</t>
  </si>
  <si>
    <t>Rental Assistance</t>
  </si>
  <si>
    <t>Without Rental Assistance</t>
  </si>
  <si>
    <t>With Rental Assistance</t>
  </si>
  <si>
    <t>All Renters</t>
  </si>
  <si>
    <t>Percent</t>
  </si>
  <si>
    <t>Characteristics of the Rental Housing Stock: 2011</t>
  </si>
  <si>
    <t>Own to Rent</t>
  </si>
  <si>
    <t>Rent to Own</t>
  </si>
  <si>
    <t>Thousands</t>
  </si>
  <si>
    <t>Renter Characteristics</t>
  </si>
  <si>
    <t>No Burden</t>
  </si>
  <si>
    <t>Moderate Burden</t>
  </si>
  <si>
    <t>Severe Burden</t>
  </si>
  <si>
    <t>All Renter Households</t>
  </si>
  <si>
    <t>Household Income</t>
  </si>
  <si>
    <t>Less than $15,000</t>
  </si>
  <si>
    <t>$75,000 and Over</t>
  </si>
  <si>
    <t>Under 25</t>
  </si>
  <si>
    <t>65 and Over</t>
  </si>
  <si>
    <t>Married Without Children</t>
  </si>
  <si>
    <t>Married With Children</t>
  </si>
  <si>
    <t>Non-Family</t>
  </si>
  <si>
    <t>Race/Ethnicity of Householder</t>
  </si>
  <si>
    <t>White</t>
  </si>
  <si>
    <t>Black</t>
  </si>
  <si>
    <t>Asian/Other</t>
  </si>
  <si>
    <t>No High School Diploma</t>
  </si>
  <si>
    <t xml:space="preserve">Weeks Worked in Last 12 Months </t>
  </si>
  <si>
    <t>Fully Employed</t>
  </si>
  <si>
    <t>Short-Term Unemployed</t>
  </si>
  <si>
    <t>Long-Term Unemployed</t>
  </si>
  <si>
    <t>Fully Unemployed</t>
  </si>
  <si>
    <t>Source: JCHS tabulations of US Census Bureau, American Community Surveys.</t>
  </si>
  <si>
    <t>Low</t>
  </si>
  <si>
    <t>Middle</t>
  </si>
  <si>
    <t>High</t>
  </si>
  <si>
    <t>Rate</t>
  </si>
  <si>
    <t>Share of Total Renter Growth</t>
  </si>
  <si>
    <t>Share of Renter HHds 2013 (Low)</t>
  </si>
  <si>
    <t>Share of Renter HHds 2023 (Low)</t>
  </si>
  <si>
    <t>Share of Renter HHGrowth 2013-23 (Low)</t>
  </si>
  <si>
    <t>Share of Renter HHGrowth 2013-23 (High)</t>
  </si>
  <si>
    <t>Partnered without Children</t>
  </si>
  <si>
    <t>Partnered with Children</t>
  </si>
  <si>
    <t>Single Parent without Other Adults</t>
  </si>
  <si>
    <t>Single Parent with Other Non-Partner Adults</t>
  </si>
  <si>
    <t>Other</t>
  </si>
  <si>
    <t>25-35</t>
  </si>
  <si>
    <t>35-44</t>
  </si>
  <si>
    <t>45-54</t>
  </si>
  <si>
    <t>55-64</t>
  </si>
  <si>
    <t>65-74</t>
  </si>
  <si>
    <t>75+</t>
  </si>
  <si>
    <t>Married/Partnered with Children</t>
  </si>
  <si>
    <t>Married/Partnered without Children</t>
  </si>
  <si>
    <t>All Other</t>
  </si>
  <si>
    <t>Note: Assumes constant average homeownership rates by age and race/Ethnicity equal to the average for years 2012 and 2013.</t>
  </si>
  <si>
    <t>Source: JCHS 2013 Household Growth Projections and US Census Bureau, 2012 and 2013 Current Population Surveys.</t>
  </si>
  <si>
    <t>Always rent</t>
  </si>
  <si>
    <t>Always own</t>
  </si>
  <si>
    <t>Own to rent</t>
  </si>
  <si>
    <t>Rent to own</t>
  </si>
  <si>
    <t>Mixed Owning &amp; Renting</t>
  </si>
  <si>
    <t>30-39</t>
  </si>
  <si>
    <t>40-49</t>
  </si>
  <si>
    <t>50-59</t>
  </si>
  <si>
    <t>60-69</t>
  </si>
  <si>
    <t>Income of Household (2011 Dollars)</t>
  </si>
  <si>
    <t>Less than $40,000</t>
  </si>
  <si>
    <t>$40,000-70,000</t>
  </si>
  <si>
    <t>$70,000-110,000</t>
  </si>
  <si>
    <t>$110,000 and Over</t>
  </si>
  <si>
    <t>Unassisted Renters</t>
  </si>
  <si>
    <t>Assisted Renters</t>
  </si>
  <si>
    <t>Metro Status</t>
  </si>
  <si>
    <t>25-34</t>
  </si>
  <si>
    <t>Lower Middle</t>
  </si>
  <si>
    <t>Upper Middle</t>
  </si>
  <si>
    <t>Sources: JCHS tabulations 1960-2000 Decennial Censuses and 2001-4 American Community Surveys  via Steven Ruggles, J. Trent Alexander, Katie Genadek, Ronald Goeken, Matthew B. Schroeder, and Matthew Sobek. Integrated Public Use Microdata Series: Version 5.0 [Machine-readable database]. Minneapolis: University of Minnesota, 2010; US Census Bureau 2005-11 American Community Surveys.</t>
  </si>
  <si>
    <t xml:space="preserve">Notes: Moderate (severe) burdens are defined as housing costs of 30-50% (more than 50%) of household income. Households with zero or negative income are assumed to be severely burdened, while renters not paying cash rent are assumed to be unburdened. Household income quintiles are equal fifths of all households (both owners and renters) sorted by pre-tax household income. </t>
  </si>
  <si>
    <t>All</t>
  </si>
  <si>
    <t>Severe Burdens</t>
  </si>
  <si>
    <t>Moderate Burdens</t>
  </si>
  <si>
    <t>Under 35</t>
  </si>
  <si>
    <t>35–44</t>
  </si>
  <si>
    <t>45–54</t>
  </si>
  <si>
    <t>55–64</t>
  </si>
  <si>
    <t>All Minority</t>
  </si>
  <si>
    <t>Region</t>
  </si>
  <si>
    <t>Notes: White, black and Asian/other are non-Hispanic. Hispanic householders may be of any race. After 2002, Asian/other also includes householders of more than one race. Caution should be used in interpreting changes before and after 2002 and 2012 because of rebenchmarking.</t>
  </si>
  <si>
    <t>Source: US Census Bureau, Housing Vacancy Surveys.</t>
  </si>
  <si>
    <t>State</t>
  </si>
  <si>
    <t>Rank</t>
  </si>
  <si>
    <t>Median gross rent</t>
  </si>
  <si>
    <t>Florida</t>
  </si>
  <si>
    <t>California</t>
  </si>
  <si>
    <t>Hawaii</t>
  </si>
  <si>
    <t>New York</t>
  </si>
  <si>
    <t>New Jersey</t>
  </si>
  <si>
    <t>Michigan</t>
  </si>
  <si>
    <t>Delaware</t>
  </si>
  <si>
    <t>Oregon</t>
  </si>
  <si>
    <t>Georgia</t>
  </si>
  <si>
    <t>Connecticut</t>
  </si>
  <si>
    <t>Maryland</t>
  </si>
  <si>
    <t>Illinois</t>
  </si>
  <si>
    <t>District of Columbia</t>
  </si>
  <si>
    <t>Nevada</t>
  </si>
  <si>
    <t>New Mexico</t>
  </si>
  <si>
    <t>Arizona</t>
  </si>
  <si>
    <t>Maine</t>
  </si>
  <si>
    <t>Louisiana</t>
  </si>
  <si>
    <t>Utah</t>
  </si>
  <si>
    <t>Colorado</t>
  </si>
  <si>
    <t>Indiana</t>
  </si>
  <si>
    <t>North Carolina</t>
  </si>
  <si>
    <t>Ohio</t>
  </si>
  <si>
    <t>South Carolina</t>
  </si>
  <si>
    <t>Massachusetts</t>
  </si>
  <si>
    <t>Washington</t>
  </si>
  <si>
    <t>Mississippi</t>
  </si>
  <si>
    <t>Rhode Island</t>
  </si>
  <si>
    <t>Alabama</t>
  </si>
  <si>
    <t>Tennessee</t>
  </si>
  <si>
    <t>Pennsylvania</t>
  </si>
  <si>
    <t>Minnesota</t>
  </si>
  <si>
    <t>Virginia</t>
  </si>
  <si>
    <t>New Hampshire</t>
  </si>
  <si>
    <t>Texas</t>
  </si>
  <si>
    <t>Arkansas</t>
  </si>
  <si>
    <t>Wisconsin</t>
  </si>
  <si>
    <t>Kentucky</t>
  </si>
  <si>
    <t>Missouri</t>
  </si>
  <si>
    <t>Idaho</t>
  </si>
  <si>
    <t>Vermont</t>
  </si>
  <si>
    <t>Oklahoma</t>
  </si>
  <si>
    <t>Iowa</t>
  </si>
  <si>
    <t>Kansas</t>
  </si>
  <si>
    <t>Nebraska</t>
  </si>
  <si>
    <t>Montana</t>
  </si>
  <si>
    <t>West Virginia</t>
  </si>
  <si>
    <t>Alaska</t>
  </si>
  <si>
    <t>North Dakota</t>
  </si>
  <si>
    <t>South Dakota</t>
  </si>
  <si>
    <t>Wyoming</t>
  </si>
  <si>
    <t>US</t>
  </si>
  <si>
    <t>Notes: Moderate (severe) burdens are defined as housing costs of 30-50% (more than 50%) of household income. Households with zero or negative income are assumed to be severely burdened, while renters paying no cash rent are assumed to be unburdened.</t>
  </si>
  <si>
    <t>Permits (1)</t>
  </si>
  <si>
    <t>Starts (2)</t>
  </si>
  <si>
    <t>Completions (3)</t>
  </si>
  <si>
    <t>Size of New Units (3)</t>
  </si>
  <si>
    <t>Rental Vacancy Rates (4)</t>
  </si>
  <si>
    <t>Value Put in Place: New Units (5)</t>
  </si>
  <si>
    <t>Year</t>
  </si>
  <si>
    <t>(Thousands)</t>
  </si>
  <si>
    <t>For Sale (Thousands)</t>
  </si>
  <si>
    <t>For Rent (Thousands)</t>
  </si>
  <si>
    <t>(Median sq. ft.)</t>
  </si>
  <si>
    <t>Multifamily (Percent)</t>
  </si>
  <si>
    <t>(Millions of 2012 dollars)</t>
  </si>
  <si>
    <t>Sources:</t>
  </si>
  <si>
    <t>2. US Census Bureau, New Privately Owned Housing Units Started, www.census.gov/construction/nrc/xls/starts_cust.xls</t>
  </si>
  <si>
    <t>5. US Census Bureau, Annual Value of Private Construction Put in Place, http://www.census.gov/construction/c30/historical_data.html</t>
  </si>
  <si>
    <t>Under 30</t>
  </si>
  <si>
    <t>Owners</t>
  </si>
  <si>
    <t>Renters</t>
  </si>
  <si>
    <t>Income Quartile</t>
  </si>
  <si>
    <t>Savings Bonds</t>
  </si>
  <si>
    <t>Cash Life Insurance Policies</t>
  </si>
  <si>
    <t>Retirement Accounts</t>
  </si>
  <si>
    <t>Stocks</t>
  </si>
  <si>
    <t>Certificates of Deposit</t>
  </si>
  <si>
    <t xml:space="preserve">Bottom </t>
  </si>
  <si>
    <t xml:space="preserve">Top </t>
  </si>
  <si>
    <t xml:space="preserve">All </t>
  </si>
  <si>
    <t>Share of Households Holding Asset, by Tenure and Income Quartile: 2010</t>
  </si>
  <si>
    <t>4. US Census Bureau, Housing Vacancy Survey, http://www.census.gov/housing/hvs/data/histtabs.html</t>
  </si>
  <si>
    <t>Median Cash Savings</t>
  </si>
  <si>
    <t>Median Net Worth</t>
  </si>
  <si>
    <t>65 and over</t>
  </si>
  <si>
    <t>Median Home Equity</t>
  </si>
  <si>
    <t>Age</t>
  </si>
  <si>
    <t>Mobile Homes</t>
  </si>
  <si>
    <t xml:space="preserve">Average Monthly Rent Payment </t>
  </si>
  <si>
    <t>Dollars</t>
  </si>
  <si>
    <r>
      <rPr>
        <b/>
        <sz val="11"/>
        <color theme="1"/>
        <rFont val="Calibri"/>
        <family val="2"/>
        <scheme val="minor"/>
      </rPr>
      <t xml:space="preserve">Note: </t>
    </r>
    <r>
      <rPr>
        <sz val="11"/>
        <color theme="1"/>
        <rFont val="Calibri"/>
        <family val="2"/>
        <scheme val="minor"/>
      </rPr>
      <t>Includes only Very Low Income (VLI) renters whose incomes are less than 50 percent of Area Median Incomes</t>
    </r>
  </si>
  <si>
    <r>
      <rPr>
        <b/>
        <sz val="11"/>
        <color theme="1"/>
        <rFont val="Calibri"/>
        <family val="2"/>
        <scheme val="minor"/>
      </rPr>
      <t xml:space="preserve">Source: </t>
    </r>
    <r>
      <rPr>
        <sz val="11"/>
        <color theme="1"/>
        <rFont val="Calibri"/>
        <family val="2"/>
        <scheme val="minor"/>
      </rPr>
      <t>JCHS tabulations of US Department of Housing and Urban Development, 2011 American Housing Survey.</t>
    </r>
  </si>
  <si>
    <t>Source: JCHS tabulations of US Department of Housing and Urban Development, American Housing Surveys.</t>
  </si>
  <si>
    <t>Extremely Low-Income Renters</t>
  </si>
  <si>
    <t>Households</t>
  </si>
  <si>
    <t xml:space="preserve">Affordable Units (1,000) </t>
  </si>
  <si>
    <t xml:space="preserve">Affordable and Available Units (1,000) </t>
  </si>
  <si>
    <t>Supply Gap</t>
  </si>
  <si>
    <t>Very Low-Income Renters</t>
  </si>
  <si>
    <t>Notes:  Value put in place is adjusted for inflation using the US Bureau of Labor Statistics Consumer Price Index for All Urban Consumers (CPI-U) for All Items. Web links confirmed as of November 2013.</t>
  </si>
  <si>
    <t>3. US Census Bureau, New Privately Owned Housing Units Completed in the United States, by Purpose and Design, http://www.census.gov/construction/nrc/pdf/quarterly_starts_completions.pdf</t>
  </si>
  <si>
    <t xml:space="preserve">Appendix Tables </t>
  </si>
  <si>
    <t>Source: JCHS tabulations of the US Department of Housing and Urban Development, 2011 American Housing Survey.</t>
  </si>
  <si>
    <t>Source: JCHS tabulations of US Department of Housing and Urban Development, 2011 American Housing Survey.</t>
  </si>
  <si>
    <t xml:space="preserve">Bottom Income </t>
  </si>
  <si>
    <t>1. US Census Bureau, New Privately Owned Housing Units Authorized by Building Permits, http://www.census.gov/construction/pdf/bpann.pdf.</t>
  </si>
  <si>
    <t>75 and over</t>
  </si>
  <si>
    <t>Source: JCHS tabulations of US Census Bureau, 2011 American Community Survey.</t>
  </si>
  <si>
    <t>Rentership rate (Percent)</t>
  </si>
  <si>
    <t>Median renter income (Dollars)</t>
  </si>
  <si>
    <t>Any burden (Percent)</t>
  </si>
  <si>
    <t>Moderate burden (Percent)</t>
  </si>
  <si>
    <t>Severe burden (Percent)</t>
  </si>
  <si>
    <t>Housing Costs as a Share of Income (Percent)</t>
  </si>
  <si>
    <t>Median Renter Income</t>
  </si>
  <si>
    <t>Contract Rent</t>
  </si>
  <si>
    <t>Gross Rent</t>
  </si>
  <si>
    <t>Asking Rent for New Apartments</t>
  </si>
  <si>
    <t>Source: JCHS tabulations of 2001-2011 Panel Study on Income Dynamics, public use dataset. Produced and distributed by the Survey Research Center, Institute for Social Research, University of Michigan, Ann Arbor, MI.</t>
  </si>
  <si>
    <t>Source: JCHS tabulations of Federal Reserve Board, Survey of Consumer Finances, 2010</t>
  </si>
  <si>
    <t>Source: US Department of Housing and Urban Development, 2011 HUD Worst Case Needs Report to Congress: Table A-13.</t>
  </si>
  <si>
    <t>Notes: The supply gap is the difference between the number of renter households and the number of affordable and available rental units.  Extremely (very) low-income households have incomes up to 30% (30 to 50%) of the HUD-adjusted Area Median Income.</t>
  </si>
  <si>
    <t>70 and over</t>
  </si>
  <si>
    <r>
      <t xml:space="preserve">Note: </t>
    </r>
    <r>
      <rPr>
        <sz val="11"/>
        <color theme="1"/>
        <rFont val="Calibri"/>
        <family val="2"/>
        <scheme val="minor"/>
      </rPr>
      <t>White, black and other households are non-Hispanic. Hispanic households may be of any race. Cash savings include CDs and checking, savings, and money market accounts. Home equity is for primary residences only.</t>
    </r>
  </si>
  <si>
    <r>
      <rPr>
        <sz val="11"/>
        <color theme="1"/>
        <rFont val="Calibri"/>
        <family val="2"/>
        <scheme val="minor"/>
      </rPr>
      <t>Source: JCHS tabulations of Federal Reserve Board, 2007 and 2010 Surveys of Consumer Finance.</t>
    </r>
  </si>
  <si>
    <t>Growth 2013-23</t>
  </si>
  <si>
    <t xml:space="preserve">Multifamily Housing Market Indicators: 1980–2012 </t>
  </si>
  <si>
    <t xml:space="preserve">Rentership Rates by Age, Race/Ethnicity, and Region: 1995–2012 </t>
  </si>
  <si>
    <t>Affordable Rental Supply Gaps: 1999–2011</t>
  </si>
  <si>
    <t>10-Year Stock Loss Rates: 2001–11</t>
  </si>
  <si>
    <t>Table W-1</t>
  </si>
  <si>
    <t>Table W-2</t>
  </si>
  <si>
    <t>Mobility by Tenure History (Percent of Households)</t>
  </si>
  <si>
    <t>Tenure History</t>
  </si>
  <si>
    <t>Characteristic of Head of Household</t>
  </si>
  <si>
    <t>Number of Moves Between 2001 and 2011</t>
  </si>
  <si>
    <t>Table W-3</t>
  </si>
  <si>
    <t>Household Tenure History (Percent of Households)</t>
  </si>
  <si>
    <t>Table W-4</t>
  </si>
  <si>
    <t>Table W-5</t>
  </si>
  <si>
    <t>Table W-6</t>
  </si>
  <si>
    <t>Table W-7</t>
  </si>
  <si>
    <t>Table W-8</t>
  </si>
  <si>
    <t>Table W-9</t>
  </si>
  <si>
    <t>Table W-1. Multifamily Housing Market Indicators: 1980-2012</t>
  </si>
  <si>
    <t>Table A-3. Characteristics of the Rental Housing Stock: 2011</t>
  </si>
  <si>
    <t xml:space="preserve">Renter Incomes and Housing Costs: 1986–2012 </t>
  </si>
  <si>
    <t>Renter Household Characteristics and Housing Cost Burdens: 2001, 2007, and 2011</t>
  </si>
  <si>
    <t>Household Tenure Trajectories and Mobility: 2001–11</t>
  </si>
  <si>
    <t xml:space="preserve">Renter Housing Cost Burdens by State: 2011 </t>
  </si>
  <si>
    <t>Renter Housing Cost Burdens by Household Income Quintile: 1960-2011</t>
  </si>
  <si>
    <t>Average Monthly Rent by Region, Metro Status, and Assisted Status: 2011</t>
  </si>
  <si>
    <t>Median Net Worth and Median Cash Savings by Tenure, Age, and Income Quartile: 2007, 2010</t>
  </si>
  <si>
    <t>JCHS Renter Household Growth Projections: 2013–23</t>
  </si>
  <si>
    <t>Table A-1. Renter Incomes and Housing Costs: 1986–2012</t>
  </si>
  <si>
    <t>Monthly Income and Housing Costs (2012 dollars)</t>
  </si>
  <si>
    <t>Table A-2. Renter Household Characteristics by Structure Type and Location: 2011</t>
  </si>
  <si>
    <t>25–34</t>
  </si>
  <si>
    <t>65–74</t>
  </si>
  <si>
    <t>75 and Over</t>
  </si>
  <si>
    <t>Households (Thousands)</t>
  </si>
  <si>
    <t>Bachelor Degree</t>
  </si>
  <si>
    <t>Other Non-Family</t>
  </si>
  <si>
    <t>Multifamily with 10 or More Units</t>
  </si>
  <si>
    <t>Suburban</t>
  </si>
  <si>
    <t xml:space="preserve">Non-Metro </t>
  </si>
  <si>
    <t>Single-Family Detached</t>
  </si>
  <si>
    <t>Single-Family Attached</t>
  </si>
  <si>
    <t>Region/Metro Status</t>
  </si>
  <si>
    <t>1940–1959</t>
  </si>
  <si>
    <t>1960–1979</t>
  </si>
  <si>
    <t>1980–1999</t>
  </si>
  <si>
    <t>2000 and Later</t>
  </si>
  <si>
    <t>$400–599</t>
  </si>
  <si>
    <t>$600–799</t>
  </si>
  <si>
    <t>$800 or More</t>
  </si>
  <si>
    <t>Other Rental / Rent Not Paid Monthly</t>
  </si>
  <si>
    <t>Number of Bedrooms</t>
  </si>
  <si>
    <t>5 or More</t>
  </si>
  <si>
    <t>800–1,199  Sq. Ft.</t>
  </si>
  <si>
    <t>Note: Assisted units include public housing and other government-subsidized units, as well as rentals where the tenants use vouchers.</t>
  </si>
  <si>
    <t>Table A-4. 10-Year Rental Stock Loss Rates: 2001–11</t>
  </si>
  <si>
    <t xml:space="preserve">Structure Type </t>
  </si>
  <si>
    <t>Cash Rentals</t>
  </si>
  <si>
    <t>$800 and Over</t>
  </si>
  <si>
    <t>Pre-1940</t>
  </si>
  <si>
    <t>Non-Metro</t>
  </si>
  <si>
    <t>Central</t>
  </si>
  <si>
    <t>Source: JCHS tabulations of US Department of Housing and Urban Development, 2003–11 American Housing Surveys.</t>
  </si>
  <si>
    <t>Structure Type</t>
  </si>
  <si>
    <t>2003–05</t>
  </si>
  <si>
    <t>2005–07</t>
  </si>
  <si>
    <t>2007–09</t>
  </si>
  <si>
    <t>2009–11</t>
  </si>
  <si>
    <t>Table A-5. Tenure Shifts by Structure Type: 2003–11</t>
  </si>
  <si>
    <t>Total Single-Family</t>
  </si>
  <si>
    <t>Multifamily with 2–4 Units</t>
  </si>
  <si>
    <t>Total Multifamily</t>
  </si>
  <si>
    <t>Table A-6. Renter Household Characteristics and Housing Cost Burdens: 2001, 2007, and 2011</t>
  </si>
  <si>
    <t>$15,000–29,999</t>
  </si>
  <si>
    <t>$30,000–44,999</t>
  </si>
  <si>
    <t>$45,000–74,999</t>
  </si>
  <si>
    <t>25–44</t>
  </si>
  <si>
    <t>45–64</t>
  </si>
  <si>
    <t>Bachelor Degree and Higher</t>
  </si>
  <si>
    <t>Notes: Moderate (severe) burdens are defined as housing costs of 30–50% (more than 50%) of household income. Households with zero or negative income are assumed to be severely burdened, while renters paying no cash rent are assumed to be unburdened. Children are the householder's own, step, or adopted children under the age of 18. White, black and Asian/other householders are non-Hispanic, while Hispanic householders may be of any race. Asian/other includes multiracial householders. High school graduates include those with a high school diploma, GED, or other alternate credential. Fully employed householders worked for at least 48 weeks, short-term unemployed for 27–47 weeks, and long-term unemployed for 1–26 weeks. and fully unemployed householders did not work in the previous 12 months but were in the labor force.</t>
  </si>
  <si>
    <t>Multifamily with 5–9 Units</t>
  </si>
  <si>
    <t>Suburbs</t>
  </si>
  <si>
    <t>2000 or Later</t>
  </si>
  <si>
    <t>Under 800 Sq. Ft.</t>
  </si>
  <si>
    <t>1,200  Sq. Ft. and Over</t>
  </si>
  <si>
    <t>Location</t>
  </si>
  <si>
    <t>Net Shift to Rental</t>
  </si>
  <si>
    <r>
      <rPr>
        <b/>
        <sz val="10"/>
        <color theme="1"/>
        <rFont val="Calibri"/>
        <family val="2"/>
        <scheme val="minor"/>
      </rPr>
      <t xml:space="preserve">Notes and Sources: </t>
    </r>
    <r>
      <rPr>
        <sz val="10"/>
        <color theme="1"/>
        <rFont val="Calibri"/>
        <family val="2"/>
        <scheme val="minor"/>
      </rPr>
      <t>Values are adjusted for inflation using the CPI-U for All Items. Renter incomes are median renter household incomes from the US Census Bureau, Current Population Survey (CPS). Renters exclude those paying no cash rent. Contract rent equals median contract rent from the US Department of Housing and Urban Development, 2011 American Housing Survey (AHS), indexed by the CPI rent of primary residence. Gross rent equals median gross rent from the 2011 AHS, indexed by a weighted combination of the CPI rent of primary residence, the CPI energy services index, and the CPI water and sewer maintenance index. Asking rent is the median asking rent from the US Census Bureau, Survey of Market Absorption, and is for newly completed, privately financed, unsubsidized, and unfurnished rental apartments in structures of five or more units</t>
    </r>
  </si>
  <si>
    <t xml:space="preserve">Note: Totals exclude a small number of households for which structure type was unavailable. </t>
  </si>
  <si>
    <t>Single-Family</t>
  </si>
  <si>
    <t>Detached</t>
  </si>
  <si>
    <t>Attached</t>
  </si>
  <si>
    <t>Multifamily</t>
  </si>
  <si>
    <r>
      <t>5</t>
    </r>
    <r>
      <rPr>
        <b/>
        <sz val="11"/>
        <color theme="1"/>
        <rFont val="Calibri"/>
        <family val="2"/>
      </rPr>
      <t>–</t>
    </r>
    <r>
      <rPr>
        <b/>
        <sz val="11"/>
        <color theme="1"/>
        <rFont val="Calibri"/>
        <family val="2"/>
        <scheme val="minor"/>
      </rPr>
      <t>9 Units</t>
    </r>
  </si>
  <si>
    <t>10 or More Units</t>
  </si>
  <si>
    <t>2–4 Units</t>
  </si>
  <si>
    <t xml:space="preserve">    Central City</t>
  </si>
  <si>
    <t xml:space="preserve">    Suburbs</t>
  </si>
  <si>
    <t xml:space="preserve">    Non-Metro </t>
  </si>
  <si>
    <t xml:space="preserve">Midwest </t>
  </si>
  <si>
    <t>Occupied Rental Units (Thousands)</t>
  </si>
  <si>
    <t>Type of Switch</t>
  </si>
  <si>
    <t>Units (Thousands)</t>
  </si>
  <si>
    <t xml:space="preserve">     Detached</t>
  </si>
  <si>
    <t xml:space="preserve">     Attached</t>
  </si>
  <si>
    <t xml:space="preserve">     2–4 Units</t>
  </si>
  <si>
    <t xml:space="preserve">     5 or More Units</t>
  </si>
  <si>
    <t>Note: Loss rates by year built and location exclude no cash rentals.</t>
  </si>
  <si>
    <t>Table A-7</t>
  </si>
  <si>
    <t>Tenure Shifts by Structure Type: 2003–11</t>
  </si>
  <si>
    <t>Renter Household Characteristics by Structure Type and Location: 2011</t>
  </si>
  <si>
    <t>Share of 2001 Stock Permanently Removed within the Decade (Percent)</t>
  </si>
  <si>
    <t>Table W-10. Monthly Housing and Non-Housing Expenditures by Renters: 2012</t>
  </si>
  <si>
    <t>Housing Expenditures</t>
  </si>
  <si>
    <t>Non-Housing
Expenditures</t>
  </si>
  <si>
    <t xml:space="preserve">Total </t>
  </si>
  <si>
    <t>Transportation</t>
  </si>
  <si>
    <t>Food</t>
  </si>
  <si>
    <t>Clothes</t>
  </si>
  <si>
    <t>Healthcare</t>
  </si>
  <si>
    <t>Personal Insurance and Pensions</t>
  </si>
  <si>
    <t>Entertainment</t>
  </si>
  <si>
    <t>Quartile 1 (Lowest)</t>
  </si>
  <si>
    <t>Less than 30%</t>
  </si>
  <si>
    <t>30-50%</t>
  </si>
  <si>
    <t>Over 50%</t>
  </si>
  <si>
    <t>Quartile 2</t>
  </si>
  <si>
    <t>Quartile 3</t>
  </si>
  <si>
    <t>Quartile 4 (Highest)</t>
  </si>
  <si>
    <t>Monthly Housing and Non-Housing Expenditures by Renters: 2012</t>
  </si>
  <si>
    <t>Table W-10</t>
  </si>
  <si>
    <t>Share of Expenditures on Housing</t>
  </si>
  <si>
    <t>Notes: Data exclude non-cash renters. Quartiles are equal fourths of households ranked by total expenditures. Housing expenditures include mortgage principal and</t>
  </si>
  <si>
    <t>interest, insurance, taxes, maintenance, rents, and utilities.</t>
  </si>
  <si>
    <t xml:space="preserve">Source: JCHS tabulations of the US Bureau of Labor Statistics, 2012 Consumer Expenditure Survey. </t>
  </si>
  <si>
    <t>Table W-9. JCHS Renter Household Growth Projections: 2013–23</t>
  </si>
  <si>
    <t>Table W-2. Household Tenure Trajectories and Mobility, 2001–11</t>
  </si>
  <si>
    <t xml:space="preserve">Table W-3. Renter Housing Cost Burdens by State, 2011 </t>
  </si>
  <si>
    <t>Table W-4. Renter Housing Cost Burdens by Household Income Quintile: 1960-2011</t>
  </si>
  <si>
    <t>Table W-5. Average Monthly Rent by Region, Metro Status, and Assisted Status: 2011</t>
  </si>
  <si>
    <r>
      <t>Table W-6. Affordable Rental Suply Gaps: 1999</t>
    </r>
    <r>
      <rPr>
        <b/>
        <sz val="11"/>
        <color theme="1"/>
        <rFont val="Calibri"/>
        <family val="2"/>
      </rPr>
      <t>–20</t>
    </r>
    <r>
      <rPr>
        <b/>
        <sz val="11"/>
        <color theme="1"/>
        <rFont val="Calibri"/>
        <family val="2"/>
        <scheme val="minor"/>
      </rPr>
      <t>11</t>
    </r>
  </si>
  <si>
    <t>Table W-7. Share of Households Holding Asset, by Tenure and Income Quartile: 2010</t>
  </si>
  <si>
    <t>Table W-8. Median Net Worth and Median Cash Savings by Tenure, Age, and Income Quartile: 2007, 2010</t>
  </si>
  <si>
    <t>Table W-1. Rentership Rates by Age, Race/Ethnicity, and Region: 1995-2012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</si>
</sst>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43" formatCode="_(* #,##0.00_);_(* \(#,##0.00\);_(* &quot;-&quot;??_);_(@_)"/>
    <numFmt numFmtId="164" formatCode="###,###,###,"/>
    <numFmt numFmtId="165" formatCode="#,###,"/>
    <numFmt numFmtId="166" formatCode="0.0"/>
    <numFmt numFmtId="167" formatCode="#,##0.0"/>
    <numFmt numFmtId="168" formatCode="_(* #,##0.0_);_(* \(#,##0.0\);_(* &quot;-&quot;??_);_(@_)"/>
    <numFmt numFmtId="169" formatCode="General_)"/>
    <numFmt numFmtId="170" formatCode="###,###,##0,"/>
  </numFmts>
  <fonts count="41">
    <font>
      <sz val="11"/>
      <color theme="1"/>
      <name val="Calibri"/>
      <family val="2"/>
      <scheme val="minor"/>
    </font>
    <font>
      <sz val="11"/>
      <color theme="1"/>
      <name val="Calibri"/>
      <family val="2"/>
      <scheme val="minor"/>
    </font>
    <font>
      <b/>
      <sz val="11"/>
      <color theme="1"/>
      <name val="Calibri"/>
      <family val="2"/>
      <scheme val="minor"/>
    </font>
    <font>
      <b/>
      <sz val="11"/>
      <color rgb="FF000000"/>
      <name val="Arial"/>
      <family val="2"/>
    </font>
    <font>
      <b/>
      <sz val="11"/>
      <color theme="1"/>
      <name val="Arial"/>
      <family val="2"/>
    </font>
    <font>
      <sz val="11"/>
      <color theme="1"/>
      <name val="Arial"/>
      <family val="2"/>
    </font>
    <font>
      <b/>
      <sz val="10"/>
      <color theme="1"/>
      <name val="Arial"/>
      <family val="2"/>
    </font>
    <font>
      <sz val="10"/>
      <color theme="1"/>
      <name val="Arial"/>
      <family val="2"/>
    </font>
    <font>
      <i/>
      <sz val="10"/>
      <color theme="1"/>
      <name val="Arial"/>
      <family val="2"/>
    </font>
    <font>
      <sz val="10"/>
      <name val="Arial"/>
      <family val="2"/>
    </font>
    <font>
      <b/>
      <sz val="11"/>
      <color rgb="FF000000"/>
      <name val="Calibri"/>
      <family val="2"/>
    </font>
    <font>
      <sz val="11"/>
      <color rgb="FF000000"/>
      <name val="Calibri"/>
      <family val="2"/>
    </font>
    <font>
      <sz val="12"/>
      <name val="Helv"/>
    </font>
    <font>
      <sz val="10"/>
      <color rgb="FF000000"/>
      <name val="Arial"/>
      <family val="2"/>
    </font>
    <font>
      <sz val="10"/>
      <color theme="1"/>
      <name val="Calibri"/>
      <family val="2"/>
      <scheme val="minor"/>
    </font>
    <font>
      <b/>
      <sz val="10"/>
      <color theme="1"/>
      <name val="Calibri"/>
      <family val="2"/>
      <scheme val="minor"/>
    </font>
    <font>
      <u/>
      <sz val="11"/>
      <color theme="10"/>
      <name val="Calibri"/>
      <family val="2"/>
      <scheme val="minor"/>
    </font>
    <font>
      <u/>
      <sz val="11"/>
      <color theme="11"/>
      <name val="Calibri"/>
      <family val="2"/>
      <scheme val="minor"/>
    </font>
    <font>
      <b/>
      <sz val="11"/>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2"/>
      <name val="Arial"/>
      <family val="2"/>
    </font>
    <font>
      <sz val="10"/>
      <name val="MS Sans Serif"/>
      <family val="2"/>
    </font>
    <font>
      <sz val="12"/>
      <name val="HLV"/>
    </font>
    <font>
      <b/>
      <sz val="11"/>
      <color indexed="63"/>
      <name val="Calibri"/>
      <family val="2"/>
    </font>
    <font>
      <sz val="12"/>
      <color indexed="8"/>
      <name val="HLV"/>
    </font>
    <font>
      <b/>
      <sz val="18"/>
      <color indexed="56"/>
      <name val="Cambria"/>
      <family val="2"/>
    </font>
    <font>
      <b/>
      <sz val="11"/>
      <color indexed="8"/>
      <name val="Calibri"/>
      <family val="2"/>
    </font>
    <font>
      <sz val="11"/>
      <color indexed="10"/>
      <name val="Calibri"/>
      <family val="2"/>
    </font>
  </fonts>
  <fills count="29">
    <fill>
      <patternFill patternType="none"/>
    </fill>
    <fill>
      <patternFill patternType="gray125"/>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gray0625">
        <fgColor indexed="13"/>
      </patternFill>
    </fill>
    <fill>
      <patternFill patternType="solid">
        <fgColor indexed="9"/>
        <bgColor indexed="9"/>
      </patternFill>
    </fill>
    <fill>
      <patternFill patternType="solid">
        <fgColor theme="0" tint="-0.14999847407452621"/>
        <bgColor indexed="64"/>
      </patternFill>
    </fill>
  </fills>
  <borders count="63">
    <border>
      <left/>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right style="thin">
        <color auto="1"/>
      </right>
      <top/>
      <bottom/>
      <diagonal/>
    </border>
    <border>
      <left/>
      <right/>
      <top style="thin">
        <color auto="1"/>
      </top>
      <bottom style="thin">
        <color auto="1"/>
      </bottom>
      <diagonal/>
    </border>
    <border>
      <left/>
      <right/>
      <top style="medium">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style="medium">
        <color indexed="64"/>
      </left>
      <right/>
      <top style="medium">
        <color indexed="64"/>
      </top>
      <bottom/>
      <diagonal/>
    </border>
    <border>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diagonal/>
    </border>
    <border>
      <left style="thin">
        <color auto="1"/>
      </left>
      <right style="thin">
        <color auto="1"/>
      </right>
      <top/>
      <bottom/>
      <diagonal/>
    </border>
    <border>
      <left style="thin">
        <color auto="1"/>
      </left>
      <right style="medium">
        <color auto="1"/>
      </right>
      <top/>
      <bottom/>
      <diagonal/>
    </border>
    <border>
      <left/>
      <right style="medium">
        <color indexed="64"/>
      </right>
      <top style="medium">
        <color indexed="64"/>
      </top>
      <bottom style="thin">
        <color auto="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thin">
        <color indexed="64"/>
      </left>
      <right style="thin">
        <color indexed="64"/>
      </right>
      <top style="thin">
        <color indexed="64"/>
      </top>
      <bottom/>
      <diagonal/>
    </border>
  </borders>
  <cellStyleXfs count="645">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xf numFmtId="43" fontId="9" fillId="0" borderId="0" applyFont="0" applyFill="0" applyBorder="0" applyAlignment="0" applyProtection="0"/>
    <xf numFmtId="169" fontId="12" fillId="0" borderId="0"/>
    <xf numFmtId="44" fontId="1"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20" fillId="14"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0"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21" borderId="0" applyNumberFormat="0" applyBorder="0" applyAlignment="0" applyProtection="0"/>
    <xf numFmtId="0" fontId="21" fillId="5" borderId="0" applyNumberFormat="0" applyBorder="0" applyAlignment="0" applyProtection="0"/>
    <xf numFmtId="0" fontId="22" fillId="22" borderId="47" applyNumberFormat="0" applyAlignment="0" applyProtection="0"/>
    <xf numFmtId="0" fontId="23" fillId="23" borderId="48" applyNumberFormat="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0" fontId="24" fillId="0" borderId="0" applyNumberFormat="0" applyFill="0" applyBorder="0" applyAlignment="0" applyProtection="0"/>
    <xf numFmtId="0" fontId="25" fillId="6" borderId="0" applyNumberFormat="0" applyBorder="0" applyAlignment="0" applyProtection="0"/>
    <xf numFmtId="0" fontId="26" fillId="0" borderId="49" applyNumberFormat="0" applyFill="0" applyAlignment="0" applyProtection="0"/>
    <xf numFmtId="0" fontId="27" fillId="0" borderId="50" applyNumberFormat="0" applyFill="0" applyAlignment="0" applyProtection="0"/>
    <xf numFmtId="0" fontId="28" fillId="0" borderId="51" applyNumberFormat="0" applyFill="0" applyAlignment="0" applyProtection="0"/>
    <xf numFmtId="0" fontId="28" fillId="0" borderId="0" applyNumberFormat="0" applyFill="0" applyBorder="0" applyAlignment="0" applyProtection="0"/>
    <xf numFmtId="0" fontId="29" fillId="9" borderId="47" applyNumberFormat="0" applyAlignment="0" applyProtection="0"/>
    <xf numFmtId="0" fontId="30" fillId="0" borderId="52" applyNumberFormat="0" applyFill="0" applyAlignment="0" applyProtection="0"/>
    <xf numFmtId="0" fontId="31" fillId="24" borderId="0" applyNumberFormat="0" applyBorder="0" applyAlignment="0" applyProtection="0"/>
    <xf numFmtId="0" fontId="32" fillId="0" borderId="0"/>
    <xf numFmtId="0" fontId="32" fillId="0" borderId="0"/>
    <xf numFmtId="0" fontId="32" fillId="0" borderId="0"/>
    <xf numFmtId="0" fontId="1" fillId="0" borderId="0"/>
    <xf numFmtId="0" fontId="33" fillId="0" borderId="0"/>
    <xf numFmtId="0" fontId="1" fillId="0" borderId="0"/>
    <xf numFmtId="0" fontId="33" fillId="0" borderId="0"/>
    <xf numFmtId="0" fontId="32" fillId="0" borderId="0"/>
    <xf numFmtId="0" fontId="1" fillId="0" borderId="0"/>
    <xf numFmtId="0" fontId="1" fillId="0" borderId="0"/>
    <xf numFmtId="0" fontId="32" fillId="0" borderId="0"/>
    <xf numFmtId="0" fontId="33"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9" fillId="0" borderId="0"/>
    <xf numFmtId="0" fontId="33" fillId="0" borderId="0"/>
    <xf numFmtId="0" fontId="9" fillId="0" borderId="0"/>
    <xf numFmtId="0" fontId="9" fillId="0" borderId="0"/>
    <xf numFmtId="0" fontId="9" fillId="0" borderId="0"/>
    <xf numFmtId="0" fontId="9"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9" fillId="0" borderId="0"/>
    <xf numFmtId="0" fontId="33"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4" fillId="0" borderId="0"/>
    <xf numFmtId="0" fontId="33" fillId="0" borderId="0"/>
    <xf numFmtId="0" fontId="9" fillId="0" borderId="0"/>
    <xf numFmtId="0" fontId="9" fillId="0" borderId="0"/>
    <xf numFmtId="0" fontId="3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33" fillId="0" borderId="0"/>
    <xf numFmtId="0" fontId="9" fillId="0" borderId="0"/>
    <xf numFmtId="0" fontId="9" fillId="0" borderId="0"/>
    <xf numFmtId="0" fontId="9"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applyNumberFormat="0" applyFill="0" applyBorder="0" applyAlignment="0" applyProtection="0"/>
    <xf numFmtId="0" fontId="1" fillId="0" borderId="0"/>
    <xf numFmtId="0" fontId="1" fillId="0" borderId="0"/>
    <xf numFmtId="0" fontId="33" fillId="0" borderId="0"/>
    <xf numFmtId="0" fontId="1" fillId="0" borderId="0"/>
    <xf numFmtId="0" fontId="33" fillId="0" borderId="0"/>
    <xf numFmtId="0" fontId="1" fillId="0" borderId="0"/>
    <xf numFmtId="0" fontId="33" fillId="0" borderId="0"/>
    <xf numFmtId="0" fontId="33" fillId="0" borderId="0"/>
    <xf numFmtId="0" fontId="1" fillId="0" borderId="0"/>
    <xf numFmtId="0" fontId="1" fillId="0" borderId="0"/>
    <xf numFmtId="0" fontId="33" fillId="0" borderId="0"/>
    <xf numFmtId="0" fontId="9" fillId="0" borderId="0" applyNumberFormat="0" applyFill="0" applyBorder="0" applyAlignment="0" applyProtection="0"/>
    <xf numFmtId="0" fontId="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9" fillId="0" borderId="0"/>
    <xf numFmtId="0" fontId="32" fillId="0" borderId="0"/>
    <xf numFmtId="0" fontId="33" fillId="0" borderId="0"/>
    <xf numFmtId="0" fontId="32" fillId="0" borderId="0"/>
    <xf numFmtId="0" fontId="32" fillId="0" borderId="0"/>
    <xf numFmtId="0" fontId="1" fillId="0" borderId="0"/>
    <xf numFmtId="0" fontId="1" fillId="0" borderId="0"/>
    <xf numFmtId="0" fontId="33" fillId="0" borderId="0"/>
    <xf numFmtId="0" fontId="32" fillId="0" borderId="0"/>
    <xf numFmtId="0" fontId="32" fillId="0" borderId="0"/>
    <xf numFmtId="0" fontId="33" fillId="0" borderId="0"/>
    <xf numFmtId="0" fontId="1" fillId="0" borderId="0"/>
    <xf numFmtId="0" fontId="9" fillId="0" borderId="0"/>
    <xf numFmtId="0" fontId="1" fillId="0" borderId="0"/>
    <xf numFmtId="0" fontId="32" fillId="0" borderId="0"/>
    <xf numFmtId="0" fontId="9" fillId="0" borderId="0"/>
    <xf numFmtId="0" fontId="1" fillId="0" borderId="0"/>
    <xf numFmtId="0" fontId="32" fillId="0" borderId="0"/>
    <xf numFmtId="0" fontId="3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1" fillId="0" borderId="0"/>
    <xf numFmtId="0" fontId="1" fillId="0" borderId="0"/>
    <xf numFmtId="0" fontId="9" fillId="0" borderId="0" applyNumberFormat="0" applyFill="0" applyBorder="0" applyAlignment="0" applyProtection="0"/>
    <xf numFmtId="0" fontId="32" fillId="0" borderId="0"/>
    <xf numFmtId="0" fontId="9" fillId="0" borderId="0"/>
    <xf numFmtId="0" fontId="9" fillId="0" borderId="0"/>
    <xf numFmtId="0" fontId="1" fillId="0" borderId="0"/>
    <xf numFmtId="0" fontId="1" fillId="0" borderId="0"/>
    <xf numFmtId="0" fontId="32" fillId="0" borderId="0"/>
    <xf numFmtId="0" fontId="1" fillId="0" borderId="0"/>
    <xf numFmtId="0" fontId="9" fillId="0" borderId="0"/>
    <xf numFmtId="0" fontId="33" fillId="0" borderId="0"/>
    <xf numFmtId="0" fontId="33" fillId="0" borderId="0"/>
    <xf numFmtId="0" fontId="9" fillId="0" borderId="0"/>
    <xf numFmtId="0" fontId="9" fillId="0" borderId="0"/>
    <xf numFmtId="0" fontId="9" fillId="0" borderId="0"/>
    <xf numFmtId="0" fontId="33" fillId="0" borderId="0"/>
    <xf numFmtId="0" fontId="33" fillId="0" borderId="0"/>
    <xf numFmtId="0" fontId="1" fillId="0" borderId="0"/>
    <xf numFmtId="0" fontId="9" fillId="0" borderId="0"/>
    <xf numFmtId="0" fontId="9" fillId="0" borderId="0"/>
    <xf numFmtId="0" fontId="1" fillId="0" borderId="0"/>
    <xf numFmtId="0" fontId="33" fillId="0" borderId="0"/>
    <xf numFmtId="0" fontId="1" fillId="0" borderId="0"/>
    <xf numFmtId="0" fontId="9" fillId="0" borderId="0"/>
    <xf numFmtId="0" fontId="1" fillId="0" borderId="0"/>
    <xf numFmtId="0" fontId="33" fillId="0" borderId="0"/>
    <xf numFmtId="0" fontId="1" fillId="0" borderId="0"/>
    <xf numFmtId="0" fontId="33" fillId="0" borderId="0"/>
    <xf numFmtId="0" fontId="33" fillId="0" borderId="0"/>
    <xf numFmtId="0" fontId="9" fillId="0" borderId="0"/>
    <xf numFmtId="0" fontId="9" fillId="0" borderId="0"/>
    <xf numFmtId="0" fontId="32" fillId="0" borderId="0"/>
    <xf numFmtId="0" fontId="32" fillId="0" borderId="0"/>
    <xf numFmtId="0" fontId="9" fillId="0" borderId="0"/>
    <xf numFmtId="0" fontId="1" fillId="0" borderId="0"/>
    <xf numFmtId="0" fontId="1" fillId="0" borderId="0"/>
    <xf numFmtId="0" fontId="32" fillId="0" borderId="0"/>
    <xf numFmtId="0" fontId="9" fillId="0" borderId="0"/>
    <xf numFmtId="0" fontId="9" fillId="0" borderId="0"/>
    <xf numFmtId="0" fontId="35" fillId="0" borderId="0"/>
    <xf numFmtId="0" fontId="9" fillId="0" borderId="0"/>
    <xf numFmtId="0" fontId="32" fillId="0" borderId="0"/>
    <xf numFmtId="0" fontId="33" fillId="0" borderId="0"/>
    <xf numFmtId="0" fontId="33" fillId="0" borderId="0"/>
    <xf numFmtId="0" fontId="33" fillId="0" borderId="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25" borderId="53"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 fillId="3" borderId="46" applyNumberFormat="0" applyFont="0" applyAlignment="0" applyProtection="0"/>
    <xf numFmtId="0" fontId="19" fillId="3" borderId="46" applyNumberFormat="0" applyFont="0" applyAlignment="0" applyProtection="0"/>
    <xf numFmtId="0" fontId="19" fillId="3" borderId="46" applyNumberFormat="0" applyFont="0" applyAlignment="0" applyProtection="0"/>
    <xf numFmtId="0" fontId="36" fillId="22" borderId="54" applyNumberFormat="0" applyAlignment="0" applyProtection="0"/>
    <xf numFmtId="9" fontId="9"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0" fontId="9" fillId="26" borderId="0" applyNumberFormat="0" applyFont="0" applyBorder="0" applyAlignment="0" applyProtection="0"/>
    <xf numFmtId="0" fontId="37" fillId="27" borderId="0"/>
    <xf numFmtId="0" fontId="37" fillId="27" borderId="0"/>
    <xf numFmtId="0" fontId="37" fillId="27" borderId="0"/>
    <xf numFmtId="0" fontId="37" fillId="27" borderId="0"/>
    <xf numFmtId="0" fontId="37" fillId="27" borderId="0"/>
    <xf numFmtId="0" fontId="37" fillId="27" borderId="0"/>
    <xf numFmtId="0" fontId="37" fillId="27" borderId="0"/>
    <xf numFmtId="0" fontId="37" fillId="27" borderId="0"/>
    <xf numFmtId="0" fontId="38" fillId="0" borderId="0" applyNumberFormat="0" applyFill="0" applyBorder="0" applyAlignment="0" applyProtection="0"/>
    <xf numFmtId="0" fontId="39" fillId="0" borderId="55" applyNumberFormat="0" applyFill="0" applyAlignment="0" applyProtection="0"/>
    <xf numFmtId="0" fontId="40" fillId="0" borderId="0" applyNumberFormat="0" applyFill="0" applyBorder="0" applyAlignment="0" applyProtection="0"/>
  </cellStyleXfs>
  <cellXfs count="347">
    <xf numFmtId="0" fontId="0" fillId="0" borderId="0" xfId="0"/>
    <xf numFmtId="0" fontId="2" fillId="0" borderId="0" xfId="0" applyFont="1"/>
    <xf numFmtId="0" fontId="0" fillId="0" borderId="0" xfId="0" applyFont="1"/>
    <xf numFmtId="0" fontId="2" fillId="0" borderId="0" xfId="0" applyFont="1" applyBorder="1"/>
    <xf numFmtId="0" fontId="0" fillId="0" borderId="0" xfId="0" applyBorder="1" applyAlignment="1">
      <alignment horizontal="left"/>
    </xf>
    <xf numFmtId="0" fontId="0" fillId="0" borderId="0" xfId="0" applyBorder="1"/>
    <xf numFmtId="0" fontId="3" fillId="0" borderId="1" xfId="0" applyFont="1" applyBorder="1" applyAlignment="1">
      <alignment vertical="top" wrapText="1"/>
    </xf>
    <xf numFmtId="0" fontId="3" fillId="0" borderId="1" xfId="0" applyFont="1" applyBorder="1" applyAlignment="1">
      <alignment horizontal="center" vertical="top"/>
    </xf>
    <xf numFmtId="0" fontId="3" fillId="0" borderId="3" xfId="0" applyFont="1" applyBorder="1" applyAlignment="1">
      <alignment horizontal="center" vertical="top"/>
    </xf>
    <xf numFmtId="3" fontId="0" fillId="0" borderId="0" xfId="0" applyNumberFormat="1" applyBorder="1"/>
    <xf numFmtId="0" fontId="0" fillId="0" borderId="0" xfId="0" applyAlignment="1">
      <alignment wrapText="1"/>
    </xf>
    <xf numFmtId="0" fontId="0" fillId="0" borderId="0" xfId="0" applyFont="1" applyAlignment="1">
      <alignment horizontal="left" vertical="top"/>
    </xf>
    <xf numFmtId="9" fontId="0" fillId="0" borderId="0" xfId="2" applyFont="1"/>
    <xf numFmtId="0" fontId="0" fillId="0" borderId="0" xfId="0" applyFill="1"/>
    <xf numFmtId="0" fontId="0" fillId="0" borderId="0" xfId="0" applyFont="1" applyFill="1" applyAlignment="1">
      <alignment horizontal="left" vertical="top"/>
    </xf>
    <xf numFmtId="0" fontId="0" fillId="0" borderId="0" xfId="0" applyFill="1" applyAlignment="1">
      <alignment horizontal="left"/>
    </xf>
    <xf numFmtId="0" fontId="2" fillId="0" borderId="13" xfId="0" applyFont="1" applyFill="1" applyBorder="1" applyAlignment="1">
      <alignment horizontal="left" vertical="top"/>
    </xf>
    <xf numFmtId="0" fontId="0" fillId="0" borderId="13" xfId="0" applyFont="1" applyFill="1" applyBorder="1" applyAlignment="1">
      <alignment horizontal="left" vertical="top"/>
    </xf>
    <xf numFmtId="0" fontId="0" fillId="0" borderId="0" xfId="0" applyAlignment="1">
      <alignment horizontal="left"/>
    </xf>
    <xf numFmtId="0" fontId="2" fillId="0" borderId="13" xfId="0" applyFont="1" applyBorder="1"/>
    <xf numFmtId="3" fontId="0" fillId="0" borderId="13" xfId="0" applyNumberFormat="1" applyBorder="1"/>
    <xf numFmtId="0" fontId="0" fillId="0" borderId="13" xfId="0" applyBorder="1"/>
    <xf numFmtId="0" fontId="6" fillId="0" borderId="0" xfId="0" applyFont="1"/>
    <xf numFmtId="0" fontId="7" fillId="0" borderId="0" xfId="0" applyFont="1"/>
    <xf numFmtId="0" fontId="7" fillId="0" borderId="0" xfId="0" applyFont="1" applyAlignment="1">
      <alignment horizontal="left"/>
    </xf>
    <xf numFmtId="0" fontId="7" fillId="0" borderId="0" xfId="0" applyFont="1" applyBorder="1" applyAlignment="1">
      <alignment horizontal="center"/>
    </xf>
    <xf numFmtId="0" fontId="7" fillId="0" borderId="26" xfId="0" applyFont="1" applyBorder="1"/>
    <xf numFmtId="0" fontId="7" fillId="0" borderId="0" xfId="0" applyFont="1" applyBorder="1" applyAlignment="1">
      <alignment horizontal="right" wrapText="1"/>
    </xf>
    <xf numFmtId="0" fontId="7" fillId="0" borderId="0" xfId="0" applyFont="1" applyBorder="1" applyAlignment="1"/>
    <xf numFmtId="0" fontId="7" fillId="0" borderId="0" xfId="0" applyFont="1" applyAlignment="1">
      <alignment horizontal="right" wrapText="1"/>
    </xf>
    <xf numFmtId="165" fontId="7" fillId="0" borderId="0" xfId="0" applyNumberFormat="1" applyFont="1" applyAlignment="1">
      <alignment horizontal="center"/>
    </xf>
    <xf numFmtId="165" fontId="7" fillId="0" borderId="0" xfId="0" applyNumberFormat="1" applyFont="1" applyBorder="1" applyAlignment="1">
      <alignment horizontal="center"/>
    </xf>
    <xf numFmtId="166" fontId="7" fillId="0" borderId="0" xfId="0" applyNumberFormat="1" applyFont="1" applyAlignment="1">
      <alignment horizontal="center"/>
    </xf>
    <xf numFmtId="166" fontId="0" fillId="0" borderId="0" xfId="0" applyNumberFormat="1" applyAlignment="1">
      <alignment horizontal="center"/>
    </xf>
    <xf numFmtId="0" fontId="0" fillId="0" borderId="0" xfId="0" applyAlignment="1">
      <alignment horizontal="center"/>
    </xf>
    <xf numFmtId="165" fontId="7" fillId="0" borderId="0" xfId="0" applyNumberFormat="1" applyFont="1"/>
    <xf numFmtId="0" fontId="8" fillId="0" borderId="0" xfId="0" applyFont="1" applyAlignment="1">
      <alignment horizontal="left"/>
    </xf>
    <xf numFmtId="0" fontId="7" fillId="0" borderId="0" xfId="0" applyFont="1" applyAlignment="1">
      <alignment horizontal="center"/>
    </xf>
    <xf numFmtId="0" fontId="2" fillId="0" borderId="1" xfId="0" applyFont="1" applyBorder="1"/>
    <xf numFmtId="0" fontId="2" fillId="0" borderId="2" xfId="0" applyFont="1" applyBorder="1"/>
    <xf numFmtId="0" fontId="2" fillId="0" borderId="3" xfId="0" applyFont="1" applyBorder="1"/>
    <xf numFmtId="9" fontId="2" fillId="0" borderId="4" xfId="2" applyFont="1" applyBorder="1"/>
    <xf numFmtId="0" fontId="2" fillId="0" borderId="5" xfId="0" applyFont="1" applyBorder="1"/>
    <xf numFmtId="0" fontId="2" fillId="0" borderId="11" xfId="0" applyFont="1" applyBorder="1" applyAlignment="1">
      <alignment wrapText="1"/>
    </xf>
    <xf numFmtId="0" fontId="2" fillId="0" borderId="12" xfId="0" applyFont="1" applyBorder="1" applyAlignment="1">
      <alignment wrapText="1"/>
    </xf>
    <xf numFmtId="0" fontId="2" fillId="0" borderId="13" xfId="0" applyFont="1" applyBorder="1" applyAlignment="1">
      <alignment wrapText="1"/>
    </xf>
    <xf numFmtId="9" fontId="2" fillId="0" borderId="14" xfId="2" applyFont="1" applyBorder="1" applyAlignment="1">
      <alignment wrapText="1"/>
    </xf>
    <xf numFmtId="0" fontId="2" fillId="0" borderId="15" xfId="0" applyFont="1" applyBorder="1" applyAlignment="1">
      <alignment wrapText="1"/>
    </xf>
    <xf numFmtId="0" fontId="2" fillId="0" borderId="11" xfId="0" applyFont="1" applyBorder="1"/>
    <xf numFmtId="0" fontId="2" fillId="0" borderId="12" xfId="0" applyFont="1" applyBorder="1"/>
    <xf numFmtId="3" fontId="2" fillId="0" borderId="11" xfId="0" applyNumberFormat="1" applyFont="1" applyBorder="1"/>
    <xf numFmtId="3" fontId="2" fillId="0" borderId="13" xfId="0" applyNumberFormat="1" applyFont="1" applyBorder="1"/>
    <xf numFmtId="9" fontId="2" fillId="0" borderId="14" xfId="2" applyFont="1" applyBorder="1"/>
    <xf numFmtId="3" fontId="2" fillId="0" borderId="15" xfId="0" applyNumberFormat="1" applyFont="1" applyBorder="1"/>
    <xf numFmtId="0" fontId="0" fillId="0" borderId="21" xfId="0" applyBorder="1"/>
    <xf numFmtId="0" fontId="0" fillId="0" borderId="22" xfId="0" applyBorder="1"/>
    <xf numFmtId="3" fontId="0" fillId="0" borderId="21" xfId="0" applyNumberFormat="1" applyBorder="1"/>
    <xf numFmtId="3" fontId="0" fillId="0" borderId="23" xfId="0" applyNumberFormat="1" applyBorder="1"/>
    <xf numFmtId="9" fontId="0" fillId="0" borderId="24" xfId="2" applyFont="1" applyBorder="1"/>
    <xf numFmtId="3" fontId="0" fillId="0" borderId="25" xfId="0" applyNumberFormat="1" applyBorder="1"/>
    <xf numFmtId="0" fontId="0" fillId="0" borderId="1" xfId="0" applyBorder="1"/>
    <xf numFmtId="0" fontId="0" fillId="0" borderId="2" xfId="0" applyBorder="1"/>
    <xf numFmtId="3" fontId="0" fillId="0" borderId="1" xfId="0" applyNumberFormat="1" applyBorder="1"/>
    <xf numFmtId="3" fontId="0" fillId="0" borderId="3" xfId="0" applyNumberFormat="1" applyBorder="1"/>
    <xf numFmtId="3" fontId="0" fillId="0" borderId="5" xfId="0" applyNumberFormat="1" applyBorder="1"/>
    <xf numFmtId="0" fontId="0" fillId="0" borderId="11" xfId="0" applyBorder="1"/>
    <xf numFmtId="0" fontId="0" fillId="0" borderId="12" xfId="0" applyBorder="1"/>
    <xf numFmtId="3" fontId="0" fillId="0" borderId="11" xfId="0" applyNumberFormat="1" applyBorder="1"/>
    <xf numFmtId="3" fontId="0" fillId="0" borderId="15" xfId="0" applyNumberFormat="1" applyBorder="1"/>
    <xf numFmtId="0" fontId="0" fillId="0" borderId="6" xfId="0" applyBorder="1"/>
    <xf numFmtId="0" fontId="0" fillId="0" borderId="7" xfId="0" applyBorder="1"/>
    <xf numFmtId="3" fontId="0" fillId="0" borderId="6" xfId="0" applyNumberFormat="1" applyBorder="1"/>
    <xf numFmtId="3" fontId="0" fillId="0" borderId="8" xfId="0" applyNumberFormat="1" applyBorder="1"/>
    <xf numFmtId="3" fontId="0" fillId="0" borderId="10" xfId="0" applyNumberFormat="1" applyBorder="1"/>
    <xf numFmtId="0" fontId="0" fillId="0" borderId="28" xfId="0" applyBorder="1"/>
    <xf numFmtId="0" fontId="0" fillId="0" borderId="29" xfId="0" applyBorder="1"/>
    <xf numFmtId="0" fontId="0" fillId="0" borderId="30" xfId="0" applyBorder="1"/>
    <xf numFmtId="0" fontId="0" fillId="0" borderId="17" xfId="0" applyBorder="1"/>
    <xf numFmtId="3" fontId="0" fillId="0" borderId="16" xfId="0" applyNumberFormat="1" applyBorder="1"/>
    <xf numFmtId="3" fontId="0" fillId="0" borderId="18" xfId="0" applyNumberFormat="1" applyBorder="1"/>
    <xf numFmtId="3" fontId="0" fillId="0" borderId="20" xfId="0" applyNumberFormat="1" applyBorder="1"/>
    <xf numFmtId="3" fontId="0" fillId="0" borderId="0" xfId="0" applyNumberFormat="1"/>
    <xf numFmtId="167" fontId="0" fillId="0" borderId="0" xfId="0" applyNumberFormat="1"/>
    <xf numFmtId="166" fontId="0" fillId="0" borderId="13" xfId="0" applyNumberFormat="1" applyBorder="1"/>
    <xf numFmtId="166" fontId="0" fillId="0" borderId="0" xfId="0" applyNumberFormat="1"/>
    <xf numFmtId="167" fontId="0" fillId="0" borderId="13" xfId="0" applyNumberFormat="1" applyBorder="1"/>
    <xf numFmtId="0" fontId="7" fillId="0" borderId="0" xfId="0" applyFont="1" applyBorder="1"/>
    <xf numFmtId="166" fontId="7" fillId="0" borderId="0" xfId="0" applyNumberFormat="1" applyFont="1" applyFill="1" applyBorder="1" applyAlignment="1">
      <alignment horizontal="center"/>
    </xf>
    <xf numFmtId="0" fontId="0" fillId="0" borderId="13" xfId="0" applyBorder="1" applyAlignment="1">
      <alignment horizontal="left" indent="1"/>
    </xf>
    <xf numFmtId="0" fontId="2" fillId="0" borderId="13" xfId="0" applyFont="1" applyBorder="1" applyAlignment="1">
      <alignment horizontal="left"/>
    </xf>
    <xf numFmtId="168" fontId="9" fillId="0" borderId="0" xfId="1" applyNumberFormat="1" applyFont="1" applyFill="1"/>
    <xf numFmtId="168" fontId="9" fillId="0" borderId="0" xfId="1" applyNumberFormat="1" applyFont="1"/>
    <xf numFmtId="0" fontId="9" fillId="0" borderId="0" xfId="0" applyFont="1" applyFill="1"/>
    <xf numFmtId="0" fontId="9" fillId="0" borderId="0" xfId="0" applyFont="1"/>
    <xf numFmtId="166" fontId="9" fillId="0" borderId="0" xfId="0" applyNumberFormat="1" applyFont="1" applyFill="1"/>
    <xf numFmtId="168" fontId="9" fillId="0" borderId="0" xfId="1" applyNumberFormat="1" applyFont="1" applyAlignment="1">
      <alignment horizontal="right"/>
    </xf>
    <xf numFmtId="166" fontId="9" fillId="0" borderId="0" xfId="1" applyNumberFormat="1" applyFont="1" applyFill="1"/>
    <xf numFmtId="168" fontId="9" fillId="0" borderId="0" xfId="1" applyNumberFormat="1" applyFont="1" applyAlignment="1"/>
    <xf numFmtId="0" fontId="0" fillId="0" borderId="0" xfId="0" applyAlignment="1"/>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167" fontId="0" fillId="0" borderId="0" xfId="0" applyNumberFormat="1" applyAlignment="1">
      <alignment horizontal="center"/>
    </xf>
    <xf numFmtId="0" fontId="0" fillId="0" borderId="0" xfId="0" applyFill="1" applyBorder="1" applyAlignment="1">
      <alignment horizontal="center" vertical="center" wrapText="1"/>
    </xf>
    <xf numFmtId="0" fontId="0" fillId="0" borderId="0" xfId="0" applyFill="1" applyBorder="1"/>
    <xf numFmtId="166" fontId="0" fillId="0" borderId="0" xfId="0" applyNumberFormat="1" applyFill="1" applyBorder="1" applyAlignment="1">
      <alignment horizontal="center"/>
    </xf>
    <xf numFmtId="0" fontId="10" fillId="0" borderId="0" xfId="0" applyFont="1" applyFill="1" applyBorder="1" applyAlignment="1"/>
    <xf numFmtId="166" fontId="11" fillId="0" borderId="0" xfId="0" applyNumberFormat="1" applyFont="1" applyFill="1" applyBorder="1" applyAlignment="1">
      <alignment horizontal="center" vertical="center"/>
    </xf>
    <xf numFmtId="1" fontId="6" fillId="0" borderId="0" xfId="0" applyNumberFormat="1" applyFont="1" applyBorder="1" applyAlignment="1">
      <alignment horizontal="left"/>
    </xf>
    <xf numFmtId="3" fontId="7" fillId="0" borderId="0" xfId="0" applyNumberFormat="1" applyFont="1" applyBorder="1" applyAlignment="1">
      <alignment horizontal="center"/>
    </xf>
    <xf numFmtId="169" fontId="7" fillId="0" borderId="0" xfId="0" applyNumberFormat="1" applyFont="1" applyBorder="1" applyAlignment="1">
      <alignment horizontal="center"/>
    </xf>
    <xf numFmtId="1" fontId="7" fillId="0" borderId="0" xfId="0" applyNumberFormat="1" applyFont="1" applyBorder="1" applyAlignment="1">
      <alignment horizontal="center"/>
    </xf>
    <xf numFmtId="3" fontId="7" fillId="0" borderId="0" xfId="0" applyNumberFormat="1" applyFont="1" applyBorder="1" applyAlignment="1">
      <alignment horizontal="center" vertical="top" wrapText="1"/>
    </xf>
    <xf numFmtId="3" fontId="9" fillId="0" borderId="0" xfId="0" applyNumberFormat="1" applyFont="1" applyFill="1" applyBorder="1" applyAlignment="1">
      <alignment vertical="top" wrapText="1"/>
    </xf>
    <xf numFmtId="0" fontId="6" fillId="0" borderId="0" xfId="0" applyFont="1" applyBorder="1"/>
    <xf numFmtId="3" fontId="7" fillId="0" borderId="26" xfId="0" applyNumberFormat="1" applyFont="1" applyBorder="1" applyAlignment="1">
      <alignment horizontal="center"/>
    </xf>
    <xf numFmtId="3" fontId="9" fillId="0" borderId="26" xfId="0" applyNumberFormat="1" applyFont="1" applyFill="1" applyBorder="1" applyAlignment="1">
      <alignment horizontal="center"/>
    </xf>
    <xf numFmtId="3" fontId="9" fillId="0" borderId="26" xfId="0" applyNumberFormat="1" applyFont="1" applyFill="1" applyBorder="1" applyAlignment="1">
      <alignment horizontal="center" wrapText="1"/>
    </xf>
    <xf numFmtId="3" fontId="9" fillId="0" borderId="0" xfId="3" applyNumberFormat="1" applyBorder="1" applyAlignment="1">
      <alignment horizontal="center"/>
    </xf>
    <xf numFmtId="3" fontId="9" fillId="0" borderId="0" xfId="3" applyNumberFormat="1" applyFont="1" applyBorder="1" applyAlignment="1">
      <alignment horizontal="center"/>
    </xf>
    <xf numFmtId="3" fontId="9" fillId="0" borderId="0" xfId="3" applyNumberFormat="1" applyAlignment="1">
      <alignment horizontal="center"/>
    </xf>
    <xf numFmtId="3" fontId="9" fillId="0" borderId="31" xfId="3" applyNumberFormat="1" applyBorder="1" applyAlignment="1">
      <alignment horizontal="center"/>
    </xf>
    <xf numFmtId="3" fontId="9" fillId="0" borderId="0" xfId="5" applyNumberFormat="1" applyFont="1" applyFill="1" applyAlignment="1">
      <alignment horizontal="center"/>
    </xf>
    <xf numFmtId="3" fontId="7" fillId="0" borderId="0" xfId="0" applyNumberFormat="1" applyFont="1" applyFill="1" applyBorder="1" applyAlignment="1">
      <alignment horizontal="center"/>
    </xf>
    <xf numFmtId="3" fontId="7" fillId="0" borderId="0" xfId="0" applyNumberFormat="1" applyFont="1" applyAlignment="1">
      <alignment horizontal="center"/>
    </xf>
    <xf numFmtId="169" fontId="7" fillId="0" borderId="0" xfId="0" applyNumberFormat="1" applyFont="1" applyBorder="1" applyAlignment="1"/>
    <xf numFmtId="169" fontId="7" fillId="0" borderId="0" xfId="0" applyNumberFormat="1" applyFont="1" applyBorder="1" applyAlignment="1">
      <alignment horizontal="left" vertical="top"/>
    </xf>
    <xf numFmtId="0" fontId="13" fillId="0" borderId="0" xfId="0" applyFont="1" applyAlignment="1">
      <alignment vertical="top" readingOrder="1"/>
    </xf>
    <xf numFmtId="0" fontId="0" fillId="0" borderId="0" xfId="0" applyAlignment="1">
      <alignment vertical="top" readingOrder="1"/>
    </xf>
    <xf numFmtId="0" fontId="0" fillId="0" borderId="13" xfId="0" applyBorder="1" applyAlignment="1">
      <alignment wrapText="1"/>
    </xf>
    <xf numFmtId="0" fontId="0" fillId="0" borderId="13" xfId="0" applyFill="1" applyBorder="1" applyAlignment="1">
      <alignment wrapText="1"/>
    </xf>
    <xf numFmtId="2" fontId="0" fillId="0" borderId="13" xfId="0" applyNumberFormat="1" applyBorder="1"/>
    <xf numFmtId="2" fontId="0" fillId="0" borderId="13" xfId="2" applyNumberFormat="1" applyFont="1" applyBorder="1"/>
    <xf numFmtId="0" fontId="0" fillId="0" borderId="0" xfId="0" applyFill="1" applyBorder="1" applyAlignment="1"/>
    <xf numFmtId="1" fontId="0" fillId="0" borderId="13" xfId="0" applyNumberFormat="1" applyBorder="1"/>
    <xf numFmtId="0" fontId="0" fillId="0" borderId="13" xfId="0" applyFont="1" applyBorder="1" applyAlignment="1">
      <alignment wrapText="1"/>
    </xf>
    <xf numFmtId="3" fontId="0" fillId="0" borderId="13" xfId="6" applyNumberFormat="1" applyFont="1" applyBorder="1"/>
    <xf numFmtId="3" fontId="0" fillId="0" borderId="13" xfId="2" applyNumberFormat="1" applyFont="1" applyBorder="1"/>
    <xf numFmtId="0" fontId="2" fillId="0" borderId="26" xfId="0" applyFont="1" applyBorder="1"/>
    <xf numFmtId="0" fontId="2" fillId="2" borderId="20" xfId="0" applyFont="1" applyFill="1" applyBorder="1"/>
    <xf numFmtId="3" fontId="0" fillId="0" borderId="22" xfId="0" applyNumberFormat="1" applyBorder="1"/>
    <xf numFmtId="3" fontId="0" fillId="0" borderId="27" xfId="0" applyNumberFormat="1" applyBorder="1"/>
    <xf numFmtId="0" fontId="0" fillId="0" borderId="0" xfId="0" applyFill="1" applyBorder="1" applyAlignment="1">
      <alignment horizontal="left"/>
    </xf>
    <xf numFmtId="0" fontId="0" fillId="0" borderId="0" xfId="0" applyFont="1" applyFill="1"/>
    <xf numFmtId="0" fontId="3" fillId="0" borderId="14" xfId="0" applyFont="1" applyBorder="1" applyAlignment="1">
      <alignment horizontal="left" vertical="top" wrapText="1"/>
    </xf>
    <xf numFmtId="1" fontId="2" fillId="0" borderId="13" xfId="2" applyNumberFormat="1" applyFont="1" applyBorder="1"/>
    <xf numFmtId="1" fontId="2" fillId="0" borderId="14" xfId="2" applyNumberFormat="1" applyFont="1" applyBorder="1"/>
    <xf numFmtId="1" fontId="0" fillId="0" borderId="23" xfId="2" applyNumberFormat="1" applyFont="1" applyBorder="1"/>
    <xf numFmtId="1" fontId="0" fillId="0" borderId="24" xfId="2" applyNumberFormat="1" applyFont="1" applyBorder="1"/>
    <xf numFmtId="1" fontId="0" fillId="0" borderId="3" xfId="2" applyNumberFormat="1" applyFont="1" applyBorder="1"/>
    <xf numFmtId="1" fontId="0" fillId="0" borderId="4" xfId="2" applyNumberFormat="1" applyFont="1" applyBorder="1"/>
    <xf numFmtId="2" fontId="0" fillId="0" borderId="4" xfId="2" applyNumberFormat="1" applyFont="1" applyBorder="1"/>
    <xf numFmtId="1" fontId="0" fillId="0" borderId="13" xfId="2" applyNumberFormat="1" applyFont="1" applyBorder="1"/>
    <xf numFmtId="1" fontId="0" fillId="0" borderId="14" xfId="2" applyNumberFormat="1" applyFont="1" applyBorder="1"/>
    <xf numFmtId="2" fontId="0" fillId="0" borderId="14" xfId="2" applyNumberFormat="1" applyFont="1" applyBorder="1"/>
    <xf numFmtId="1" fontId="0" fillId="0" borderId="8" xfId="2" applyNumberFormat="1" applyFont="1" applyBorder="1"/>
    <xf numFmtId="1" fontId="0" fillId="0" borderId="9" xfId="2" applyNumberFormat="1" applyFont="1" applyBorder="1"/>
    <xf numFmtId="2" fontId="0" fillId="0" borderId="9" xfId="2" applyNumberFormat="1" applyFont="1" applyBorder="1"/>
    <xf numFmtId="1" fontId="0" fillId="0" borderId="18" xfId="2" applyNumberFormat="1" applyFont="1" applyBorder="1"/>
    <xf numFmtId="1" fontId="0" fillId="0" borderId="19" xfId="2" applyNumberFormat="1" applyFont="1" applyBorder="1"/>
    <xf numFmtId="2" fontId="0" fillId="0" borderId="19" xfId="2" applyNumberFormat="1" applyFont="1" applyBorder="1"/>
    <xf numFmtId="2" fontId="0" fillId="0" borderId="24" xfId="2" applyNumberFormat="1" applyFont="1" applyBorder="1"/>
    <xf numFmtId="3" fontId="0" fillId="0" borderId="0" xfId="0" applyNumberFormat="1" applyAlignment="1">
      <alignment horizontal="center"/>
    </xf>
    <xf numFmtId="0" fontId="2" fillId="0" borderId="13" xfId="0" applyFont="1" applyBorder="1" applyAlignment="1">
      <alignment horizontal="center"/>
    </xf>
    <xf numFmtId="166" fontId="2" fillId="0" borderId="13" xfId="0" applyNumberFormat="1" applyFont="1" applyBorder="1"/>
    <xf numFmtId="0" fontId="2" fillId="0" borderId="0" xfId="0" applyFont="1" applyAlignment="1">
      <alignment horizontal="left"/>
    </xf>
    <xf numFmtId="0" fontId="7" fillId="0" borderId="0" xfId="0" applyFont="1" applyFill="1" applyAlignment="1">
      <alignment horizontal="left"/>
    </xf>
    <xf numFmtId="0" fontId="7" fillId="0" borderId="26" xfId="0" applyFont="1" applyFill="1" applyBorder="1"/>
    <xf numFmtId="0" fontId="7" fillId="0" borderId="26" xfId="0" applyFont="1" applyFill="1" applyBorder="1" applyAlignment="1">
      <alignment horizontal="left"/>
    </xf>
    <xf numFmtId="0" fontId="7" fillId="0" borderId="26" xfId="0" applyFont="1" applyFill="1" applyBorder="1" applyAlignment="1">
      <alignment horizontal="center" vertical="center" wrapText="1"/>
    </xf>
    <xf numFmtId="0" fontId="7" fillId="0" borderId="0" xfId="0" applyFont="1" applyFill="1" applyBorder="1" applyAlignment="1">
      <alignment horizontal="left"/>
    </xf>
    <xf numFmtId="0" fontId="7" fillId="0" borderId="0" xfId="0" applyFont="1" applyFill="1" applyAlignment="1">
      <alignment horizontal="right" wrapText="1"/>
    </xf>
    <xf numFmtId="0" fontId="7" fillId="0" borderId="0" xfId="0" applyFont="1" applyFill="1"/>
    <xf numFmtId="165" fontId="7" fillId="0" borderId="0" xfId="0" applyNumberFormat="1" applyFont="1" applyFill="1" applyAlignment="1">
      <alignment horizontal="center"/>
    </xf>
    <xf numFmtId="165" fontId="7" fillId="0" borderId="0" xfId="0" applyNumberFormat="1" applyFont="1" applyFill="1" applyBorder="1" applyAlignment="1">
      <alignment horizontal="center"/>
    </xf>
    <xf numFmtId="165" fontId="7" fillId="0" borderId="27" xfId="0" applyNumberFormat="1" applyFont="1" applyFill="1" applyBorder="1" applyAlignment="1">
      <alignment horizontal="center"/>
    </xf>
    <xf numFmtId="165" fontId="0" fillId="0" borderId="0" xfId="0" applyNumberFormat="1" applyFill="1" applyAlignment="1">
      <alignment horizontal="center"/>
    </xf>
    <xf numFmtId="165" fontId="0" fillId="0" borderId="27" xfId="0" applyNumberFormat="1" applyFill="1" applyBorder="1" applyAlignment="1">
      <alignment horizontal="center"/>
    </xf>
    <xf numFmtId="0" fontId="7" fillId="0" borderId="27" xfId="0" applyFont="1" applyFill="1" applyBorder="1" applyAlignment="1">
      <alignment horizontal="left"/>
    </xf>
    <xf numFmtId="165" fontId="7" fillId="0" borderId="0" xfId="0" applyNumberFormat="1" applyFont="1" applyFill="1" applyBorder="1"/>
    <xf numFmtId="0" fontId="0" fillId="0" borderId="0" xfId="0" applyFont="1" applyFill="1" applyBorder="1"/>
    <xf numFmtId="0" fontId="7" fillId="0" borderId="0" xfId="0" applyFont="1" applyAlignment="1">
      <alignment wrapText="1"/>
    </xf>
    <xf numFmtId="0" fontId="3" fillId="0" borderId="21" xfId="0" applyFont="1" applyBorder="1" applyAlignment="1">
      <alignment horizontal="center" vertical="top" wrapText="1"/>
    </xf>
    <xf numFmtId="0" fontId="3" fillId="0" borderId="4" xfId="0" applyFont="1" applyBorder="1" applyAlignment="1">
      <alignment horizontal="center" vertical="top" wrapText="1"/>
    </xf>
    <xf numFmtId="0" fontId="0" fillId="0" borderId="13" xfId="0" applyBorder="1" applyAlignment="1">
      <alignment horizontal="center" wrapText="1"/>
    </xf>
    <xf numFmtId="0" fontId="2" fillId="0" borderId="0" xfId="0" applyFont="1" applyFill="1"/>
    <xf numFmtId="0" fontId="2" fillId="0" borderId="0" xfId="0" applyFont="1" applyFill="1" applyAlignment="1">
      <alignment wrapText="1"/>
    </xf>
    <xf numFmtId="3" fontId="0" fillId="0" borderId="0" xfId="0" applyNumberFormat="1" applyFill="1"/>
    <xf numFmtId="166" fontId="0" fillId="0" borderId="0" xfId="0" applyNumberFormat="1" applyFill="1"/>
    <xf numFmtId="164" fontId="5" fillId="0" borderId="13" xfId="0" applyNumberFormat="1" applyFont="1" applyBorder="1"/>
    <xf numFmtId="0" fontId="3" fillId="0" borderId="23" xfId="0" applyFont="1" applyBorder="1" applyAlignment="1">
      <alignment horizontal="center" vertical="top" wrapText="1"/>
    </xf>
    <xf numFmtId="164" fontId="5" fillId="0" borderId="3" xfId="0" applyNumberFormat="1" applyFont="1" applyBorder="1"/>
    <xf numFmtId="164" fontId="5" fillId="0" borderId="4" xfId="0" applyNumberFormat="1" applyFont="1" applyBorder="1"/>
    <xf numFmtId="164" fontId="5" fillId="0" borderId="14" xfId="0" applyNumberFormat="1" applyFont="1" applyBorder="1"/>
    <xf numFmtId="164" fontId="5" fillId="0" borderId="8" xfId="0" applyNumberFormat="1" applyFont="1" applyBorder="1"/>
    <xf numFmtId="164" fontId="5" fillId="0" borderId="9" xfId="0" applyNumberFormat="1" applyFont="1" applyBorder="1"/>
    <xf numFmtId="0" fontId="3" fillId="0" borderId="21" xfId="0" applyFont="1" applyBorder="1" applyAlignment="1">
      <alignment vertical="top" wrapText="1"/>
    </xf>
    <xf numFmtId="0" fontId="3" fillId="0" borderId="24" xfId="0" applyFont="1" applyBorder="1" applyAlignment="1">
      <alignment horizontal="center" vertical="top" wrapText="1"/>
    </xf>
    <xf numFmtId="0" fontId="4" fillId="0" borderId="30" xfId="0" applyFont="1" applyBorder="1"/>
    <xf numFmtId="164" fontId="5" fillId="0" borderId="34" xfId="0" applyNumberFormat="1" applyFont="1" applyBorder="1"/>
    <xf numFmtId="164" fontId="5" fillId="0" borderId="35" xfId="0" applyNumberFormat="1" applyFont="1" applyBorder="1"/>
    <xf numFmtId="0" fontId="3" fillId="0" borderId="25" xfId="0" applyFont="1" applyBorder="1" applyAlignment="1">
      <alignment horizontal="center" vertical="top" wrapText="1"/>
    </xf>
    <xf numFmtId="164" fontId="5" fillId="0" borderId="5" xfId="0" applyNumberFormat="1" applyFont="1" applyBorder="1"/>
    <xf numFmtId="164" fontId="5" fillId="0" borderId="15" xfId="0" applyNumberFormat="1" applyFont="1" applyBorder="1"/>
    <xf numFmtId="164" fontId="5" fillId="0" borderId="10" xfId="0" applyNumberFormat="1" applyFont="1" applyBorder="1"/>
    <xf numFmtId="164" fontId="5" fillId="0" borderId="37" xfId="0" applyNumberFormat="1" applyFont="1" applyBorder="1"/>
    <xf numFmtId="164" fontId="5" fillId="0" borderId="1" xfId="0" applyNumberFormat="1" applyFont="1" applyBorder="1"/>
    <xf numFmtId="164" fontId="5" fillId="0" borderId="11" xfId="0" applyNumberFormat="1" applyFont="1" applyBorder="1"/>
    <xf numFmtId="164" fontId="5" fillId="0" borderId="6" xfId="0" applyNumberFormat="1" applyFont="1" applyBorder="1"/>
    <xf numFmtId="164" fontId="5" fillId="0" borderId="30" xfId="0" applyNumberFormat="1" applyFont="1" applyBorder="1"/>
    <xf numFmtId="0" fontId="3" fillId="0" borderId="22" xfId="0" applyFont="1" applyBorder="1" applyAlignment="1">
      <alignment horizontal="center" vertical="top" wrapText="1"/>
    </xf>
    <xf numFmtId="164" fontId="5" fillId="0" borderId="2" xfId="0" applyNumberFormat="1" applyFont="1" applyBorder="1"/>
    <xf numFmtId="164" fontId="5" fillId="0" borderId="12" xfId="0" applyNumberFormat="1" applyFont="1" applyBorder="1"/>
    <xf numFmtId="164" fontId="5" fillId="0" borderId="7" xfId="0" applyNumberFormat="1" applyFont="1" applyBorder="1"/>
    <xf numFmtId="164" fontId="5" fillId="0" borderId="36" xfId="0" applyNumberFormat="1" applyFont="1" applyBorder="1"/>
    <xf numFmtId="170" fontId="5" fillId="0" borderId="1" xfId="0" applyNumberFormat="1" applyFont="1" applyBorder="1"/>
    <xf numFmtId="170" fontId="5" fillId="0" borderId="11" xfId="0" applyNumberFormat="1" applyFont="1" applyBorder="1"/>
    <xf numFmtId="0" fontId="3" fillId="0" borderId="4" xfId="0" applyFont="1" applyBorder="1" applyAlignment="1">
      <alignment horizontal="left" vertical="top" wrapText="1"/>
    </xf>
    <xf numFmtId="0" fontId="3" fillId="0" borderId="24" xfId="0" applyFont="1" applyBorder="1" applyAlignment="1">
      <alignment horizontal="left" vertical="top" wrapText="1"/>
    </xf>
    <xf numFmtId="0" fontId="3" fillId="0" borderId="9" xfId="0" applyFont="1" applyBorder="1" applyAlignment="1">
      <alignment horizontal="left" vertical="top" wrapText="1"/>
    </xf>
    <xf numFmtId="0" fontId="4" fillId="0" borderId="35" xfId="0" applyFont="1" applyBorder="1" applyAlignment="1">
      <alignment horizontal="left"/>
    </xf>
    <xf numFmtId="0" fontId="2" fillId="0" borderId="11" xfId="0" applyFont="1" applyFill="1" applyBorder="1" applyAlignment="1">
      <alignment horizontal="left" vertical="top"/>
    </xf>
    <xf numFmtId="0" fontId="0" fillId="0" borderId="11" xfId="0" applyFill="1" applyBorder="1" applyAlignment="1">
      <alignment horizontal="left"/>
    </xf>
    <xf numFmtId="0" fontId="2" fillId="0" borderId="11" xfId="0" applyFont="1" applyFill="1" applyBorder="1" applyAlignment="1">
      <alignment horizontal="left"/>
    </xf>
    <xf numFmtId="0" fontId="0" fillId="0" borderId="8" xfId="0" applyFont="1" applyFill="1" applyBorder="1" applyAlignment="1">
      <alignment horizontal="left" vertical="top"/>
    </xf>
    <xf numFmtId="0" fontId="2" fillId="0" borderId="23" xfId="0" applyFont="1" applyFill="1" applyBorder="1" applyAlignment="1">
      <alignment horizontal="center" wrapText="1"/>
    </xf>
    <xf numFmtId="0" fontId="2" fillId="0" borderId="1" xfId="0" applyFont="1" applyFill="1" applyBorder="1" applyAlignment="1">
      <alignment horizontal="left" vertical="top"/>
    </xf>
    <xf numFmtId="0" fontId="0" fillId="0" borderId="3" xfId="0" applyFont="1" applyFill="1" applyBorder="1" applyAlignment="1">
      <alignment horizontal="left" vertical="top"/>
    </xf>
    <xf numFmtId="0" fontId="0" fillId="0" borderId="6" xfId="0" applyFill="1" applyBorder="1" applyAlignment="1">
      <alignment horizontal="left"/>
    </xf>
    <xf numFmtId="0" fontId="2" fillId="0" borderId="3" xfId="0" applyFont="1" applyFill="1" applyBorder="1" applyAlignment="1">
      <alignment horizontal="left" vertical="top"/>
    </xf>
    <xf numFmtId="0" fontId="2" fillId="0" borderId="1" xfId="0" applyFont="1" applyFill="1" applyBorder="1" applyAlignment="1">
      <alignment horizontal="left"/>
    </xf>
    <xf numFmtId="0" fontId="2" fillId="0" borderId="30" xfId="0" applyFont="1" applyFill="1" applyBorder="1" applyAlignment="1">
      <alignment horizontal="left"/>
    </xf>
    <xf numFmtId="0" fontId="0" fillId="0" borderId="34" xfId="0" applyFont="1" applyFill="1" applyBorder="1" applyAlignment="1">
      <alignment horizontal="left" vertical="top"/>
    </xf>
    <xf numFmtId="170" fontId="0" fillId="0" borderId="13" xfId="0" applyNumberFormat="1" applyFill="1" applyBorder="1"/>
    <xf numFmtId="170" fontId="0" fillId="0" borderId="8" xfId="0" applyNumberFormat="1" applyFill="1" applyBorder="1"/>
    <xf numFmtId="170" fontId="0" fillId="0" borderId="3" xfId="0" applyNumberFormat="1" applyFill="1" applyBorder="1"/>
    <xf numFmtId="170" fontId="0" fillId="0" borderId="3" xfId="1" applyNumberFormat="1" applyFont="1" applyFill="1" applyBorder="1" applyAlignment="1">
      <alignment horizontal="right"/>
    </xf>
    <xf numFmtId="170" fontId="0" fillId="0" borderId="3" xfId="0" applyNumberFormat="1" applyFill="1" applyBorder="1" applyAlignment="1">
      <alignment horizontal="right"/>
    </xf>
    <xf numFmtId="170" fontId="0" fillId="0" borderId="4" xfId="0" applyNumberFormat="1" applyFont="1" applyFill="1" applyBorder="1" applyAlignment="1">
      <alignment horizontal="right" vertical="top"/>
    </xf>
    <xf numFmtId="170" fontId="0" fillId="0" borderId="13" xfId="1" applyNumberFormat="1" applyFont="1" applyFill="1" applyBorder="1" applyAlignment="1">
      <alignment horizontal="right"/>
    </xf>
    <xf numFmtId="170" fontId="0" fillId="0" borderId="13" xfId="0" applyNumberFormat="1" applyFill="1" applyBorder="1" applyAlignment="1">
      <alignment horizontal="right"/>
    </xf>
    <xf numFmtId="170" fontId="0" fillId="0" borderId="14" xfId="0" applyNumberFormat="1" applyFont="1" applyFill="1" applyBorder="1" applyAlignment="1">
      <alignment horizontal="right" vertical="top"/>
    </xf>
    <xf numFmtId="170" fontId="0" fillId="0" borderId="8" xfId="1" applyNumberFormat="1" applyFont="1" applyFill="1" applyBorder="1" applyAlignment="1">
      <alignment horizontal="right"/>
    </xf>
    <xf numFmtId="170" fontId="0" fillId="0" borderId="8" xfId="0" applyNumberFormat="1" applyFill="1" applyBorder="1" applyAlignment="1">
      <alignment horizontal="right"/>
    </xf>
    <xf numFmtId="170" fontId="0" fillId="0" borderId="9" xfId="0" applyNumberFormat="1" applyFont="1" applyFill="1" applyBorder="1" applyAlignment="1">
      <alignment horizontal="right" vertical="top"/>
    </xf>
    <xf numFmtId="170" fontId="0" fillId="0" borderId="14" xfId="1" applyNumberFormat="1" applyFont="1" applyFill="1" applyBorder="1" applyAlignment="1">
      <alignment horizontal="right"/>
    </xf>
    <xf numFmtId="170" fontId="0" fillId="0" borderId="34" xfId="1" applyNumberFormat="1" applyFont="1" applyFill="1" applyBorder="1" applyAlignment="1">
      <alignment horizontal="right"/>
    </xf>
    <xf numFmtId="170" fontId="0" fillId="0" borderId="35" xfId="0" applyNumberFormat="1" applyFont="1" applyFill="1" applyBorder="1" applyAlignment="1">
      <alignment horizontal="right" vertical="top"/>
    </xf>
    <xf numFmtId="0" fontId="0" fillId="0" borderId="3" xfId="0" applyBorder="1"/>
    <xf numFmtId="0" fontId="0" fillId="0" borderId="1" xfId="0" applyFill="1" applyBorder="1"/>
    <xf numFmtId="0" fontId="0" fillId="0" borderId="14" xfId="0" applyBorder="1" applyAlignment="1">
      <alignment horizontal="center" wrapText="1"/>
    </xf>
    <xf numFmtId="0" fontId="2" fillId="0" borderId="16" xfId="0" applyFont="1" applyBorder="1"/>
    <xf numFmtId="0" fontId="2" fillId="0" borderId="28" xfId="0" applyFont="1" applyBorder="1"/>
    <xf numFmtId="0" fontId="2" fillId="0" borderId="40" xfId="0" applyFont="1" applyBorder="1"/>
    <xf numFmtId="0" fontId="2" fillId="0" borderId="41" xfId="0" applyFont="1" applyBorder="1"/>
    <xf numFmtId="0" fontId="2" fillId="0" borderId="1" xfId="0" applyFont="1" applyFill="1" applyBorder="1"/>
    <xf numFmtId="0" fontId="2" fillId="0" borderId="11" xfId="0" applyFont="1" applyFill="1" applyBorder="1"/>
    <xf numFmtId="0" fontId="2" fillId="0" borderId="6" xfId="0" applyFont="1" applyFill="1" applyBorder="1"/>
    <xf numFmtId="170" fontId="0" fillId="0" borderId="4" xfId="0" applyNumberFormat="1" applyFill="1" applyBorder="1"/>
    <xf numFmtId="170" fontId="0" fillId="0" borderId="14" xfId="0" applyNumberFormat="1" applyFill="1" applyBorder="1"/>
    <xf numFmtId="170" fontId="0" fillId="0" borderId="9" xfId="0" applyNumberFormat="1" applyFill="1" applyBorder="1"/>
    <xf numFmtId="170" fontId="0" fillId="0" borderId="18" xfId="0" applyNumberFormat="1" applyFill="1" applyBorder="1"/>
    <xf numFmtId="170" fontId="0" fillId="0" borderId="19" xfId="0" applyNumberFormat="1" applyFill="1" applyBorder="1"/>
    <xf numFmtId="170" fontId="0" fillId="0" borderId="23" xfId="0" applyNumberFormat="1" applyFill="1" applyBorder="1"/>
    <xf numFmtId="170" fontId="0" fillId="0" borderId="24" xfId="0" applyNumberFormat="1" applyFill="1" applyBorder="1"/>
    <xf numFmtId="0" fontId="0" fillId="0" borderId="3" xfId="0" applyFont="1" applyFill="1" applyBorder="1"/>
    <xf numFmtId="0" fontId="0" fillId="0" borderId="13" xfId="0" applyFont="1" applyFill="1" applyBorder="1"/>
    <xf numFmtId="0" fontId="0" fillId="0" borderId="8" xfId="0" applyFont="1" applyFill="1" applyBorder="1"/>
    <xf numFmtId="0" fontId="0" fillId="0" borderId="18" xfId="0" applyFont="1" applyFill="1" applyBorder="1"/>
    <xf numFmtId="0" fontId="0" fillId="0" borderId="23" xfId="0" applyFont="1" applyFill="1" applyBorder="1"/>
    <xf numFmtId="0" fontId="0" fillId="0" borderId="1" xfId="0" applyFont="1" applyFill="1" applyBorder="1"/>
    <xf numFmtId="0" fontId="0" fillId="0" borderId="11" xfId="0" applyFont="1" applyFill="1" applyBorder="1"/>
    <xf numFmtId="0" fontId="0" fillId="0" borderId="6" xfId="0" applyFont="1" applyFill="1" applyBorder="1"/>
    <xf numFmtId="0" fontId="0" fillId="0" borderId="16" xfId="0" applyFont="1" applyFill="1" applyBorder="1"/>
    <xf numFmtId="0" fontId="0" fillId="0" borderId="21" xfId="0" applyFont="1" applyFill="1" applyBorder="1"/>
    <xf numFmtId="3" fontId="9" fillId="0" borderId="0" xfId="0" applyNumberFormat="1" applyFont="1" applyFill="1" applyBorder="1" applyAlignment="1">
      <alignment horizontal="center" vertical="top" wrapText="1"/>
    </xf>
    <xf numFmtId="166" fontId="0" fillId="0" borderId="0" xfId="0" applyNumberFormat="1" applyAlignment="1">
      <alignment horizontal="center"/>
    </xf>
    <xf numFmtId="166" fontId="0" fillId="28" borderId="0" xfId="0" applyNumberFormat="1" applyFill="1" applyAlignment="1">
      <alignment horizontal="center"/>
    </xf>
    <xf numFmtId="2" fontId="0" fillId="0" borderId="0" xfId="2" applyNumberFormat="1" applyFont="1" applyFill="1" applyBorder="1"/>
    <xf numFmtId="0" fontId="0" fillId="0" borderId="57" xfId="0" applyBorder="1"/>
    <xf numFmtId="0" fontId="2" fillId="0" borderId="59" xfId="0" applyFont="1" applyBorder="1"/>
    <xf numFmtId="0" fontId="0" fillId="0" borderId="59" xfId="0" applyBorder="1"/>
    <xf numFmtId="166" fontId="2" fillId="0" borderId="3" xfId="2" applyNumberFormat="1" applyFont="1" applyBorder="1"/>
    <xf numFmtId="166" fontId="2" fillId="0" borderId="4" xfId="2" applyNumberFormat="1" applyFont="1" applyBorder="1"/>
    <xf numFmtId="166" fontId="0" fillId="0" borderId="56" xfId="2" applyNumberFormat="1" applyFont="1" applyBorder="1"/>
    <xf numFmtId="166" fontId="0" fillId="0" borderId="58" xfId="2" applyNumberFormat="1" applyFont="1" applyBorder="1"/>
    <xf numFmtId="166" fontId="0" fillId="0" borderId="60" xfId="2" applyNumberFormat="1" applyFont="1" applyBorder="1"/>
    <xf numFmtId="166" fontId="0" fillId="0" borderId="61" xfId="2" applyNumberFormat="1" applyFont="1" applyBorder="1"/>
    <xf numFmtId="166" fontId="0" fillId="0" borderId="18" xfId="0" applyNumberFormat="1" applyBorder="1"/>
    <xf numFmtId="166" fontId="0" fillId="0" borderId="19" xfId="0" applyNumberFormat="1" applyBorder="1"/>
    <xf numFmtId="166" fontId="0" fillId="0" borderId="23" xfId="2" applyNumberFormat="1" applyFont="1" applyBorder="1"/>
    <xf numFmtId="166" fontId="0" fillId="0" borderId="24" xfId="2" applyNumberFormat="1" applyFont="1" applyBorder="1"/>
    <xf numFmtId="166" fontId="0" fillId="0" borderId="3" xfId="0" applyNumberFormat="1" applyBorder="1"/>
    <xf numFmtId="166" fontId="0" fillId="0" borderId="4" xfId="0" applyNumberFormat="1" applyBorder="1"/>
    <xf numFmtId="166" fontId="0" fillId="0" borderId="56" xfId="2" applyNumberFormat="1" applyFont="1" applyFill="1" applyBorder="1"/>
    <xf numFmtId="166" fontId="0" fillId="0" borderId="58" xfId="2" applyNumberFormat="1" applyFont="1" applyFill="1" applyBorder="1"/>
    <xf numFmtId="166" fontId="0" fillId="0" borderId="60" xfId="2" applyNumberFormat="1" applyFont="1" applyFill="1" applyBorder="1"/>
    <xf numFmtId="166" fontId="0" fillId="0" borderId="61" xfId="2" applyNumberFormat="1" applyFont="1" applyFill="1" applyBorder="1"/>
    <xf numFmtId="3" fontId="0" fillId="0" borderId="0" xfId="0" applyNumberFormat="1" applyFill="1" applyBorder="1"/>
    <xf numFmtId="0" fontId="2" fillId="0" borderId="40" xfId="0" applyFont="1" applyFill="1" applyBorder="1"/>
    <xf numFmtId="0" fontId="2" fillId="0" borderId="56" xfId="0" applyFont="1" applyBorder="1" applyAlignment="1">
      <alignment horizontal="center" wrapText="1"/>
    </xf>
    <xf numFmtId="0" fontId="0" fillId="0" borderId="56" xfId="0" applyBorder="1"/>
    <xf numFmtId="0" fontId="2" fillId="0" borderId="56" xfId="0" applyFont="1" applyBorder="1"/>
    <xf numFmtId="1" fontId="0" fillId="0" borderId="56" xfId="0" applyNumberFormat="1" applyBorder="1" applyAlignment="1">
      <alignment horizontal="center"/>
    </xf>
    <xf numFmtId="0" fontId="0" fillId="0" borderId="56" xfId="0" applyBorder="1" applyAlignment="1">
      <alignment horizontal="center"/>
    </xf>
    <xf numFmtId="3" fontId="0" fillId="0" borderId="56" xfId="0" applyNumberFormat="1" applyBorder="1" applyAlignment="1">
      <alignment horizontal="center"/>
    </xf>
    <xf numFmtId="0" fontId="2" fillId="0" borderId="0" xfId="0" applyFont="1" applyFill="1" applyAlignment="1">
      <alignment horizontal="center" wrapText="1"/>
    </xf>
    <xf numFmtId="0" fontId="14" fillId="0" borderId="0" xfId="0" applyFont="1" applyFill="1" applyAlignment="1">
      <alignment horizontal="left" wrapText="1"/>
    </xf>
    <xf numFmtId="0" fontId="3" fillId="0" borderId="1" xfId="0" applyFont="1" applyBorder="1" applyAlignment="1">
      <alignment horizontal="center" vertical="top" wrapText="1"/>
    </xf>
    <xf numFmtId="0" fontId="3" fillId="0" borderId="11" xfId="0" applyFont="1" applyBorder="1" applyAlignment="1">
      <alignment horizontal="center" vertical="top" wrapText="1"/>
    </xf>
    <xf numFmtId="0" fontId="3" fillId="0" borderId="6"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3" fillId="0" borderId="2" xfId="0" applyFont="1" applyBorder="1" applyAlignment="1">
      <alignment horizontal="center" vertical="top" wrapText="1"/>
    </xf>
    <xf numFmtId="0" fontId="2" fillId="0" borderId="40" xfId="0" applyFont="1" applyFill="1" applyBorder="1" applyAlignment="1">
      <alignment horizontal="center" wrapText="1"/>
    </xf>
    <xf numFmtId="0" fontId="2" fillId="0" borderId="43" xfId="0" applyFont="1" applyFill="1" applyBorder="1" applyAlignment="1">
      <alignment horizontal="center" wrapText="1"/>
    </xf>
    <xf numFmtId="0" fontId="2" fillId="0" borderId="41"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0" fillId="0" borderId="2" xfId="0" applyFill="1" applyBorder="1" applyAlignment="1">
      <alignment horizontal="center"/>
    </xf>
    <xf numFmtId="0" fontId="0" fillId="0" borderId="5" xfId="0" applyFill="1" applyBorder="1" applyAlignment="1">
      <alignment horizontal="center"/>
    </xf>
    <xf numFmtId="0" fontId="0" fillId="0" borderId="33" xfId="0" applyFill="1" applyBorder="1" applyAlignment="1">
      <alignment horizontal="center"/>
    </xf>
    <xf numFmtId="0" fontId="0" fillId="0" borderId="38" xfId="0" applyFill="1" applyBorder="1" applyAlignment="1">
      <alignment horizontal="center"/>
    </xf>
    <xf numFmtId="0" fontId="0" fillId="0" borderId="39" xfId="0" applyFill="1" applyBorder="1" applyAlignment="1">
      <alignment horizontal="center"/>
    </xf>
    <xf numFmtId="0" fontId="0" fillId="0" borderId="42" xfId="0" applyFill="1" applyBorder="1" applyAlignment="1">
      <alignment horizontal="center"/>
    </xf>
    <xf numFmtId="0" fontId="0" fillId="0" borderId="31" xfId="0" applyFill="1" applyBorder="1" applyAlignment="1">
      <alignment horizontal="center"/>
    </xf>
    <xf numFmtId="0" fontId="0" fillId="0" borderId="2" xfId="0" applyBorder="1" applyAlignment="1">
      <alignment horizontal="center"/>
    </xf>
    <xf numFmtId="0" fontId="0" fillId="0" borderId="33" xfId="0" applyBorder="1" applyAlignment="1">
      <alignment horizontal="center"/>
    </xf>
    <xf numFmtId="0" fontId="0" fillId="0" borderId="45" xfId="0" applyBorder="1" applyAlignment="1">
      <alignment horizontal="center"/>
    </xf>
    <xf numFmtId="0" fontId="7" fillId="0" borderId="0" xfId="0" applyFont="1" applyAlignment="1">
      <alignment horizontal="left" wrapText="1"/>
    </xf>
    <xf numFmtId="0" fontId="7" fillId="0" borderId="0" xfId="0" applyFont="1" applyFill="1" applyBorder="1" applyAlignment="1">
      <alignment horizontal="center"/>
    </xf>
    <xf numFmtId="0" fontId="7" fillId="0" borderId="0" xfId="0" applyFont="1" applyFill="1" applyBorder="1" applyAlignment="1">
      <alignment horizontal="center" vertical="center"/>
    </xf>
    <xf numFmtId="3" fontId="9" fillId="0" borderId="0" xfId="0" applyNumberFormat="1" applyFont="1" applyFill="1" applyBorder="1" applyAlignment="1">
      <alignment horizontal="center" vertical="top" wrapText="1"/>
    </xf>
    <xf numFmtId="0" fontId="0" fillId="0" borderId="0" xfId="0" applyAlignment="1">
      <alignment horizontal="left" wrapText="1"/>
    </xf>
    <xf numFmtId="0" fontId="2" fillId="0" borderId="13" xfId="0" applyFont="1" applyBorder="1" applyAlignment="1">
      <alignment horizontal="center"/>
    </xf>
    <xf numFmtId="0" fontId="10" fillId="0" borderId="0" xfId="0" applyFont="1" applyFill="1" applyBorder="1" applyAlignment="1">
      <alignment horizontal="left"/>
    </xf>
    <xf numFmtId="0" fontId="10" fillId="0" borderId="0" xfId="0" applyFont="1" applyFill="1" applyBorder="1" applyAlignment="1">
      <alignment horizontal="center"/>
    </xf>
    <xf numFmtId="0" fontId="7" fillId="0" borderId="0" xfId="0" applyFont="1" applyBorder="1" applyAlignment="1">
      <alignment horizontal="left" wrapText="1"/>
    </xf>
    <xf numFmtId="0" fontId="0" fillId="0" borderId="13" xfId="0" applyBorder="1" applyAlignment="1">
      <alignment horizontal="center" wrapText="1"/>
    </xf>
    <xf numFmtId="0" fontId="2" fillId="0" borderId="32" xfId="0" applyFont="1" applyBorder="1" applyAlignment="1">
      <alignment horizontal="center" wrapText="1"/>
    </xf>
    <xf numFmtId="0" fontId="2" fillId="0" borderId="32" xfId="0" applyFont="1" applyBorder="1" applyAlignment="1">
      <alignment horizontal="center"/>
    </xf>
    <xf numFmtId="0" fontId="2" fillId="0" borderId="15" xfId="0" applyFont="1" applyBorder="1" applyAlignment="1">
      <alignment horizontal="center"/>
    </xf>
    <xf numFmtId="0" fontId="0" fillId="0" borderId="0" xfId="0" applyFont="1" applyAlignment="1">
      <alignment horizontal="left" wrapText="1"/>
    </xf>
    <xf numFmtId="0" fontId="2" fillId="0" borderId="12" xfId="0" applyFont="1" applyBorder="1" applyAlignment="1">
      <alignment horizontal="center"/>
    </xf>
    <xf numFmtId="0" fontId="2" fillId="28" borderId="56" xfId="0" applyFont="1" applyFill="1" applyBorder="1" applyAlignment="1">
      <alignment horizontal="center" wrapText="1"/>
    </xf>
    <xf numFmtId="0" fontId="2" fillId="28" borderId="62" xfId="0" applyFont="1" applyFill="1" applyBorder="1" applyAlignment="1">
      <alignment horizontal="center" wrapText="1"/>
    </xf>
    <xf numFmtId="0" fontId="2" fillId="28" borderId="18" xfId="0" applyFont="1" applyFill="1" applyBorder="1" applyAlignment="1">
      <alignment horizontal="center" wrapText="1"/>
    </xf>
  </cellXfs>
  <cellStyles count="645">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heck Cell 2" xfId="37"/>
    <cellStyle name="Comma" xfId="1" builtinId="3"/>
    <cellStyle name="Comma 2" xfId="4"/>
    <cellStyle name="Comma 2 2" xfId="38"/>
    <cellStyle name="Comma 2 2 2" xfId="39"/>
    <cellStyle name="Comma 2 2 3" xfId="40"/>
    <cellStyle name="Comma 2 3" xfId="41"/>
    <cellStyle name="Comma 2 3 2" xfId="42"/>
    <cellStyle name="Comma 2 3 3" xfId="43"/>
    <cellStyle name="Comma 2 3 3 2" xfId="44"/>
    <cellStyle name="Comma 2 3 3 3" xfId="45"/>
    <cellStyle name="Comma 2 3 3 4" xfId="46"/>
    <cellStyle name="Comma 2 3 4" xfId="47"/>
    <cellStyle name="Comma 2 4" xfId="48"/>
    <cellStyle name="Comma 2 4 2" xfId="49"/>
    <cellStyle name="Comma 2 4 2 2" xfId="50"/>
    <cellStyle name="Comma 2 5" xfId="51"/>
    <cellStyle name="Comma 2 6" xfId="52"/>
    <cellStyle name="Comma 3" xfId="53"/>
    <cellStyle name="Comma 3 2" xfId="54"/>
    <cellStyle name="Comma 3 2 2" xfId="55"/>
    <cellStyle name="Comma 3 3" xfId="56"/>
    <cellStyle name="Comma 3 3 2" xfId="57"/>
    <cellStyle name="Comma 3 3 2 2" xfId="58"/>
    <cellStyle name="Comma 3 4" xfId="59"/>
    <cellStyle name="Comma 3 4 2" xfId="60"/>
    <cellStyle name="Comma 3 4 2 2" xfId="61"/>
    <cellStyle name="Comma 3 4 2 2 2" xfId="62"/>
    <cellStyle name="Comma 3 4 3" xfId="63"/>
    <cellStyle name="Comma 3 4 4" xfId="64"/>
    <cellStyle name="Comma 3 5" xfId="65"/>
    <cellStyle name="Comma 3 6" xfId="66"/>
    <cellStyle name="Comma 4" xfId="67"/>
    <cellStyle name="Comma 4 2" xfId="68"/>
    <cellStyle name="Comma 4 2 2" xfId="69"/>
    <cellStyle name="Comma 4 3" xfId="70"/>
    <cellStyle name="Comma 4 3 2" xfId="71"/>
    <cellStyle name="Comma 4 4" xfId="72"/>
    <cellStyle name="Comma 4 5" xfId="73"/>
    <cellStyle name="Comma 4 6" xfId="74"/>
    <cellStyle name="Comma 5" xfId="75"/>
    <cellStyle name="Comma 5 2" xfId="76"/>
    <cellStyle name="Comma 6" xfId="77"/>
    <cellStyle name="Comma 6 2" xfId="78"/>
    <cellStyle name="Comma 6 3" xfId="79"/>
    <cellStyle name="Comma 7" xfId="80"/>
    <cellStyle name="Comma 7 2" xfId="81"/>
    <cellStyle name="Comma 7 2 2" xfId="82"/>
    <cellStyle name="Comma 7 2 3" xfId="83"/>
    <cellStyle name="Comma 7 3" xfId="84"/>
    <cellStyle name="Comma 7 3 2" xfId="85"/>
    <cellStyle name="Comma 7 4" xfId="86"/>
    <cellStyle name="Currency" xfId="6" builtinId="4"/>
    <cellStyle name="Currency 2" xfId="87"/>
    <cellStyle name="Explanatory Text 2" xfId="88"/>
    <cellStyle name="Followed Hyperlink" xfId="8" builtinId="9" hidden="1"/>
    <cellStyle name="Followed Hyperlink" xfId="10" builtinId="9" hidden="1"/>
    <cellStyle name="Good 2" xfId="89"/>
    <cellStyle name="Heading 1 2" xfId="90"/>
    <cellStyle name="Heading 2 2" xfId="91"/>
    <cellStyle name="Heading 3 2" xfId="92"/>
    <cellStyle name="Heading 4 2" xfId="93"/>
    <cellStyle name="Hyperlink" xfId="7" builtinId="8" hidden="1"/>
    <cellStyle name="Hyperlink" xfId="9" builtinId="8" hidden="1"/>
    <cellStyle name="Input 2" xfId="94"/>
    <cellStyle name="Linked Cell 2" xfId="95"/>
    <cellStyle name="Neutral 2" xfId="96"/>
    <cellStyle name="Normal" xfId="0" builtinId="0"/>
    <cellStyle name="Normal 10" xfId="97"/>
    <cellStyle name="Normal 10 2" xfId="98"/>
    <cellStyle name="Normal 10 3" xfId="99"/>
    <cellStyle name="Normal 10 4" xfId="100"/>
    <cellStyle name="Normal 11" xfId="101"/>
    <cellStyle name="Normal 11 2" xfId="102"/>
    <cellStyle name="Normal 11 3" xfId="103"/>
    <cellStyle name="Normal 12" xfId="104"/>
    <cellStyle name="Normal 12 2" xfId="105"/>
    <cellStyle name="Normal 12 3" xfId="106"/>
    <cellStyle name="Normal 12 4" xfId="107"/>
    <cellStyle name="Normal 13" xfId="108"/>
    <cellStyle name="Normal 13 2" xfId="109"/>
    <cellStyle name="Normal 13 3" xfId="110"/>
    <cellStyle name="Normal 14" xfId="111"/>
    <cellStyle name="Normal 14 2" xfId="112"/>
    <cellStyle name="Normal 14 3" xfId="113"/>
    <cellStyle name="Normal 15 2" xfId="114"/>
    <cellStyle name="Normal 15 3" xfId="115"/>
    <cellStyle name="Normal 16 2" xfId="116"/>
    <cellStyle name="Normal 16 3" xfId="117"/>
    <cellStyle name="Normal 17 2" xfId="118"/>
    <cellStyle name="Normal 17 3" xfId="119"/>
    <cellStyle name="Normal 18 2" xfId="120"/>
    <cellStyle name="Normal 18 3" xfId="121"/>
    <cellStyle name="Normal 19 2" xfId="122"/>
    <cellStyle name="Normal 19 3" xfId="123"/>
    <cellStyle name="Normal 2" xfId="124"/>
    <cellStyle name="Normal 2 10" xfId="125"/>
    <cellStyle name="Normal 2 10 2" xfId="126"/>
    <cellStyle name="Normal 2 11" xfId="127"/>
    <cellStyle name="Normal 2 11 2" xfId="128"/>
    <cellStyle name="Normal 2 12" xfId="129"/>
    <cellStyle name="Normal 2 12 2" xfId="130"/>
    <cellStyle name="Normal 2 13" xfId="131"/>
    <cellStyle name="Normal 2 13 2" xfId="132"/>
    <cellStyle name="Normal 2 14" xfId="133"/>
    <cellStyle name="Normal 2 14 2" xfId="134"/>
    <cellStyle name="Normal 2 15" xfId="135"/>
    <cellStyle name="Normal 2 15 2" xfId="136"/>
    <cellStyle name="Normal 2 16" xfId="137"/>
    <cellStyle name="Normal 2 16 2" xfId="138"/>
    <cellStyle name="Normal 2 17" xfId="139"/>
    <cellStyle name="Normal 2 17 2" xfId="140"/>
    <cellStyle name="Normal 2 18" xfId="141"/>
    <cellStyle name="Normal 2 18 2" xfId="142"/>
    <cellStyle name="Normal 2 19" xfId="143"/>
    <cellStyle name="Normal 2 19 2" xfId="144"/>
    <cellStyle name="Normal 2 2" xfId="145"/>
    <cellStyle name="Normal 2 2 10" xfId="146"/>
    <cellStyle name="Normal 2 2 11" xfId="147"/>
    <cellStyle name="Normal 2 2 12" xfId="148"/>
    <cellStyle name="Normal 2 2 13" xfId="149"/>
    <cellStyle name="Normal 2 2 14" xfId="150"/>
    <cellStyle name="Normal 2 2 15" xfId="151"/>
    <cellStyle name="Normal 2 2 16" xfId="152"/>
    <cellStyle name="Normal 2 2 17" xfId="153"/>
    <cellStyle name="Normal 2 2 18" xfId="154"/>
    <cellStyle name="Normal 2 2 19" xfId="155"/>
    <cellStyle name="Normal 2 2 2" xfId="156"/>
    <cellStyle name="Normal 2 2 2 2" xfId="157"/>
    <cellStyle name="Normal 2 2 2 2 2" xfId="158"/>
    <cellStyle name="Normal 2 2 2 2 2 2" xfId="159"/>
    <cellStyle name="Normal 2 2 2 2 3" xfId="160"/>
    <cellStyle name="Normal 2 2 2 3" xfId="161"/>
    <cellStyle name="Normal 2 2 2 3 2" xfId="162"/>
    <cellStyle name="Normal 2 2 2 3 2 2" xfId="163"/>
    <cellStyle name="Normal 2 2 2 4" xfId="164"/>
    <cellStyle name="Normal 2 2 20" xfId="165"/>
    <cellStyle name="Normal 2 2 21" xfId="166"/>
    <cellStyle name="Normal 2 2 22" xfId="167"/>
    <cellStyle name="Normal 2 2 23" xfId="168"/>
    <cellStyle name="Normal 2 2 24" xfId="169"/>
    <cellStyle name="Normal 2 2 25" xfId="170"/>
    <cellStyle name="Normal 2 2 26" xfId="171"/>
    <cellStyle name="Normal 2 2 27" xfId="172"/>
    <cellStyle name="Normal 2 2 28" xfId="173"/>
    <cellStyle name="Normal 2 2 29" xfId="174"/>
    <cellStyle name="Normal 2 2 3" xfId="175"/>
    <cellStyle name="Normal 2 2 3 2" xfId="176"/>
    <cellStyle name="Normal 2 2 3 2 2" xfId="177"/>
    <cellStyle name="Normal 2 2 3 3" xfId="178"/>
    <cellStyle name="Normal 2 2 3 3 2" xfId="179"/>
    <cellStyle name="Normal 2 2 3 4" xfId="180"/>
    <cellStyle name="Normal 2 2 30" xfId="181"/>
    <cellStyle name="Normal 2 2 31" xfId="182"/>
    <cellStyle name="Normal 2 2 32" xfId="183"/>
    <cellStyle name="Normal 2 2 33" xfId="184"/>
    <cellStyle name="Normal 2 2 34" xfId="185"/>
    <cellStyle name="Normal 2 2 35" xfId="186"/>
    <cellStyle name="Normal 2 2 36" xfId="187"/>
    <cellStyle name="Normal 2 2 37" xfId="188"/>
    <cellStyle name="Normal 2 2 38" xfId="189"/>
    <cellStyle name="Normal 2 2 39" xfId="190"/>
    <cellStyle name="Normal 2 2 4" xfId="191"/>
    <cellStyle name="Normal 2 2 4 2" xfId="192"/>
    <cellStyle name="Normal 2 2 40" xfId="193"/>
    <cellStyle name="Normal 2 2 41" xfId="194"/>
    <cellStyle name="Normal 2 2 42" xfId="195"/>
    <cellStyle name="Normal 2 2 43" xfId="196"/>
    <cellStyle name="Normal 2 2 44" xfId="197"/>
    <cellStyle name="Normal 2 2 45" xfId="198"/>
    <cellStyle name="Normal 2 2 46" xfId="199"/>
    <cellStyle name="Normal 2 2 47" xfId="200"/>
    <cellStyle name="Normal 2 2 48" xfId="201"/>
    <cellStyle name="Normal 2 2 49" xfId="202"/>
    <cellStyle name="Normal 2 2 5" xfId="203"/>
    <cellStyle name="Normal 2 2 6" xfId="204"/>
    <cellStyle name="Normal 2 2 7" xfId="205"/>
    <cellStyle name="Normal 2 2 8" xfId="206"/>
    <cellStyle name="Normal 2 2 9" xfId="207"/>
    <cellStyle name="Normal 2 20" xfId="208"/>
    <cellStyle name="Normal 2 20 2" xfId="209"/>
    <cellStyle name="Normal 2 21" xfId="210"/>
    <cellStyle name="Normal 2 21 2" xfId="211"/>
    <cellStyle name="Normal 2 22" xfId="212"/>
    <cellStyle name="Normal 2 22 2" xfId="213"/>
    <cellStyle name="Normal 2 23" xfId="214"/>
    <cellStyle name="Normal 2 23 2" xfId="215"/>
    <cellStyle name="Normal 2 24" xfId="216"/>
    <cellStyle name="Normal 2 24 2" xfId="217"/>
    <cellStyle name="Normal 2 25" xfId="218"/>
    <cellStyle name="Normal 2 25 2" xfId="219"/>
    <cellStyle name="Normal 2 26" xfId="220"/>
    <cellStyle name="Normal 2 26 2" xfId="221"/>
    <cellStyle name="Normal 2 27" xfId="222"/>
    <cellStyle name="Normal 2 27 2" xfId="223"/>
    <cellStyle name="Normal 2 28" xfId="224"/>
    <cellStyle name="Normal 2 28 2" xfId="225"/>
    <cellStyle name="Normal 2 29" xfId="226"/>
    <cellStyle name="Normal 2 29 2" xfId="227"/>
    <cellStyle name="Normal 2 3" xfId="228"/>
    <cellStyle name="Normal 2 3 2" xfId="229"/>
    <cellStyle name="Normal 2 3 2 2" xfId="230"/>
    <cellStyle name="Normal 2 3 3" xfId="231"/>
    <cellStyle name="Normal 2 3 3 2" xfId="232"/>
    <cellStyle name="Normal 2 3 4" xfId="233"/>
    <cellStyle name="Normal 2 30" xfId="234"/>
    <cellStyle name="Normal 2 30 2" xfId="235"/>
    <cellStyle name="Normal 2 31" xfId="236"/>
    <cellStyle name="Normal 2 31 2" xfId="237"/>
    <cellStyle name="Normal 2 32" xfId="238"/>
    <cellStyle name="Normal 2 32 2" xfId="239"/>
    <cellStyle name="Normal 2 33" xfId="240"/>
    <cellStyle name="Normal 2 33 2" xfId="241"/>
    <cellStyle name="Normal 2 34" xfId="242"/>
    <cellStyle name="Normal 2 34 2" xfId="243"/>
    <cellStyle name="Normal 2 35" xfId="244"/>
    <cellStyle name="Normal 2 35 2" xfId="245"/>
    <cellStyle name="Normal 2 36" xfId="246"/>
    <cellStyle name="Normal 2 36 2" xfId="247"/>
    <cellStyle name="Normal 2 37" xfId="248"/>
    <cellStyle name="Normal 2 37 2" xfId="249"/>
    <cellStyle name="Normal 2 38" xfId="250"/>
    <cellStyle name="Normal 2 38 2" xfId="251"/>
    <cellStyle name="Normal 2 39" xfId="252"/>
    <cellStyle name="Normal 2 39 2" xfId="253"/>
    <cellStyle name="Normal 2 4" xfId="3"/>
    <cellStyle name="Normal 2 4 2" xfId="254"/>
    <cellStyle name="Normal 2 4 3" xfId="255"/>
    <cellStyle name="Normal 2 40" xfId="256"/>
    <cellStyle name="Normal 2 40 2" xfId="257"/>
    <cellStyle name="Normal 2 41" xfId="258"/>
    <cellStyle name="Normal 2 41 2" xfId="259"/>
    <cellStyle name="Normal 2 42" xfId="260"/>
    <cellStyle name="Normal 2 42 2" xfId="261"/>
    <cellStyle name="Normal 2 43" xfId="262"/>
    <cellStyle name="Normal 2 43 2" xfId="263"/>
    <cellStyle name="Normal 2 44" xfId="264"/>
    <cellStyle name="Normal 2 44 2" xfId="265"/>
    <cellStyle name="Normal 2 45" xfId="266"/>
    <cellStyle name="Normal 2 45 2" xfId="267"/>
    <cellStyle name="Normal 2 46" xfId="268"/>
    <cellStyle name="Normal 2 46 2" xfId="269"/>
    <cellStyle name="Normal 2 47" xfId="270"/>
    <cellStyle name="Normal 2 48" xfId="271"/>
    <cellStyle name="Normal 2 5" xfId="272"/>
    <cellStyle name="Normal 2 5 2" xfId="273"/>
    <cellStyle name="Normal 2 6" xfId="274"/>
    <cellStyle name="Normal 2 6 2" xfId="275"/>
    <cellStyle name="Normal 2 6 3" xfId="276"/>
    <cellStyle name="Normal 2 7" xfId="277"/>
    <cellStyle name="Normal 2 7 2" xfId="278"/>
    <cellStyle name="Normal 2 8" xfId="279"/>
    <cellStyle name="Normal 2 8 2" xfId="280"/>
    <cellStyle name="Normal 2 9" xfId="281"/>
    <cellStyle name="Normal 2 9 2" xfId="282"/>
    <cellStyle name="Normal 20 2" xfId="283"/>
    <cellStyle name="Normal 20 3" xfId="284"/>
    <cellStyle name="Normal 21 2" xfId="285"/>
    <cellStyle name="Normal 21 3" xfId="286"/>
    <cellStyle name="Normal 22 2" xfId="287"/>
    <cellStyle name="Normal 22 3" xfId="288"/>
    <cellStyle name="Normal 23 2" xfId="289"/>
    <cellStyle name="Normal 23 3" xfId="290"/>
    <cellStyle name="Normal 24 2" xfId="291"/>
    <cellStyle name="Normal 24 3" xfId="292"/>
    <cellStyle name="Normal 25 2" xfId="293"/>
    <cellStyle name="Normal 25 3" xfId="294"/>
    <cellStyle name="Normal 26 2" xfId="295"/>
    <cellStyle name="Normal 26 3" xfId="296"/>
    <cellStyle name="Normal 27 2" xfId="297"/>
    <cellStyle name="Normal 27 3" xfId="298"/>
    <cellStyle name="Normal 28 2" xfId="299"/>
    <cellStyle name="Normal 28 3" xfId="300"/>
    <cellStyle name="Normal 29 2" xfId="301"/>
    <cellStyle name="Normal 29 3" xfId="302"/>
    <cellStyle name="Normal 3" xfId="303"/>
    <cellStyle name="Normal 3 2" xfId="304"/>
    <cellStyle name="Normal 3 2 2" xfId="305"/>
    <cellStyle name="Normal 3 2 2 2" xfId="306"/>
    <cellStyle name="Normal 3 2 3" xfId="307"/>
    <cellStyle name="Normal 3 2 4" xfId="308"/>
    <cellStyle name="Normal 3 3" xfId="309"/>
    <cellStyle name="Normal 3 3 2" xfId="310"/>
    <cellStyle name="Normal 3 3 2 2" xfId="311"/>
    <cellStyle name="Normal 3 3 2 3" xfId="312"/>
    <cellStyle name="Normal 3 3 3" xfId="313"/>
    <cellStyle name="Normal 3 3 3 2" xfId="314"/>
    <cellStyle name="Normal 3 4" xfId="315"/>
    <cellStyle name="Normal 3 4 2" xfId="316"/>
    <cellStyle name="Normal 3 4 3" xfId="317"/>
    <cellStyle name="Normal 3 5" xfId="318"/>
    <cellStyle name="Normal 30 2" xfId="319"/>
    <cellStyle name="Normal 30 3" xfId="320"/>
    <cellStyle name="Normal 31 2" xfId="321"/>
    <cellStyle name="Normal 31 3" xfId="322"/>
    <cellStyle name="Normal 32 2" xfId="323"/>
    <cellStyle name="Normal 32 3" xfId="324"/>
    <cellStyle name="Normal 33 2" xfId="325"/>
    <cellStyle name="Normal 33 3" xfId="326"/>
    <cellStyle name="Normal 34 2" xfId="327"/>
    <cellStyle name="Normal 34 3" xfId="328"/>
    <cellStyle name="Normal 35 2" xfId="329"/>
    <cellStyle name="Normal 35 3" xfId="330"/>
    <cellStyle name="Normal 36 2" xfId="331"/>
    <cellStyle name="Normal 36 3" xfId="332"/>
    <cellStyle name="Normal 37 2" xfId="333"/>
    <cellStyle name="Normal 37 3" xfId="334"/>
    <cellStyle name="Normal 38 2" xfId="335"/>
    <cellStyle name="Normal 38 3" xfId="336"/>
    <cellStyle name="Normal 39 2" xfId="337"/>
    <cellStyle name="Normal 39 3" xfId="338"/>
    <cellStyle name="Normal 4" xfId="339"/>
    <cellStyle name="Normal 4 2" xfId="340"/>
    <cellStyle name="Normal 4 2 2" xfId="341"/>
    <cellStyle name="Normal 4 2 2 2" xfId="342"/>
    <cellStyle name="Normal 4 2 2 2 2" xfId="343"/>
    <cellStyle name="Normal 4 2 3" xfId="344"/>
    <cellStyle name="Normal 4 2 4" xfId="345"/>
    <cellStyle name="Normal 4 3" xfId="346"/>
    <cellStyle name="Normal 4 3 2" xfId="347"/>
    <cellStyle name="Normal 4 3 2 2" xfId="348"/>
    <cellStyle name="Normal 4 3 3" xfId="349"/>
    <cellStyle name="Normal 4 3 3 2" xfId="350"/>
    <cellStyle name="Normal 4 4" xfId="351"/>
    <cellStyle name="Normal 4 5" xfId="352"/>
    <cellStyle name="Normal 4 6" xfId="353"/>
    <cellStyle name="Normal 4 6 2" xfId="354"/>
    <cellStyle name="Normal 4 6 3" xfId="355"/>
    <cellStyle name="Normal 4 6 4" xfId="356"/>
    <cellStyle name="Normal 4 6 5" xfId="357"/>
    <cellStyle name="Normal 4 7" xfId="358"/>
    <cellStyle name="Normal 40 2" xfId="359"/>
    <cellStyle name="Normal 40 3" xfId="360"/>
    <cellStyle name="Normal 41 2" xfId="361"/>
    <cellStyle name="Normal 41 3" xfId="362"/>
    <cellStyle name="Normal 42 2" xfId="363"/>
    <cellStyle name="Normal 42 3" xfId="364"/>
    <cellStyle name="Normal 43 2" xfId="365"/>
    <cellStyle name="Normal 43 3" xfId="366"/>
    <cellStyle name="Normal 44 2" xfId="367"/>
    <cellStyle name="Normal 45 2" xfId="368"/>
    <cellStyle name="Normal 45 3" xfId="369"/>
    <cellStyle name="Normal 48" xfId="370"/>
    <cellStyle name="Normal 48 2" xfId="371"/>
    <cellStyle name="Normal 5" xfId="372"/>
    <cellStyle name="Normal 5 2" xfId="373"/>
    <cellStyle name="Normal 5 3" xfId="374"/>
    <cellStyle name="Normal 5 3 2" xfId="375"/>
    <cellStyle name="Normal 5 3 2 2" xfId="376"/>
    <cellStyle name="Normal 5 4" xfId="377"/>
    <cellStyle name="Normal 5 5" xfId="378"/>
    <cellStyle name="Normal 6" xfId="379"/>
    <cellStyle name="Normal 6 2" xfId="380"/>
    <cellStyle name="Normal 6 2 2" xfId="381"/>
    <cellStyle name="Normal 6 2 2 2" xfId="382"/>
    <cellStyle name="Normal 6 2 2 3" xfId="383"/>
    <cellStyle name="Normal 6 2 3" xfId="384"/>
    <cellStyle name="Normal 6 2 4" xfId="385"/>
    <cellStyle name="Normal 6 3" xfId="386"/>
    <cellStyle name="Normal 6 3 2" xfId="387"/>
    <cellStyle name="Normal 6 3 3" xfId="388"/>
    <cellStyle name="Normal 6 3 4" xfId="389"/>
    <cellStyle name="Normal 6 4" xfId="390"/>
    <cellStyle name="Normal 6 4 2" xfId="391"/>
    <cellStyle name="Normal 6 5" xfId="392"/>
    <cellStyle name="Normal 7" xfId="393"/>
    <cellStyle name="Normal 7 2" xfId="394"/>
    <cellStyle name="Normal 7 3" xfId="395"/>
    <cellStyle name="Normal 7 3 2" xfId="396"/>
    <cellStyle name="Normal 7 4" xfId="397"/>
    <cellStyle name="Normal 7 5" xfId="398"/>
    <cellStyle name="Normal 8" xfId="399"/>
    <cellStyle name="Normal 8 2" xfId="400"/>
    <cellStyle name="Normal 8 2 2" xfId="401"/>
    <cellStyle name="Normal 8 2 2 2" xfId="402"/>
    <cellStyle name="Normal 8 2 3" xfId="403"/>
    <cellStyle name="Normal 8 2 3 2" xfId="404"/>
    <cellStyle name="Normal 8 3" xfId="405"/>
    <cellStyle name="Normal 8 4" xfId="406"/>
    <cellStyle name="Normal 8 5" xfId="407"/>
    <cellStyle name="Normal 8 6" xfId="408"/>
    <cellStyle name="Normal 8 7" xfId="409"/>
    <cellStyle name="Normal 9" xfId="410"/>
    <cellStyle name="Normal 9 2" xfId="411"/>
    <cellStyle name="Normal 9 2 2" xfId="412"/>
    <cellStyle name="Normal 9 3" xfId="413"/>
    <cellStyle name="Normal 9 4" xfId="414"/>
    <cellStyle name="Normal 9 5" xfId="415"/>
    <cellStyle name="Normal_Sheet1_Housing Market Indicators 2007" xfId="5"/>
    <cellStyle name="Note 10" xfId="416"/>
    <cellStyle name="Note 10 2" xfId="417"/>
    <cellStyle name="Note 10 2 2" xfId="418"/>
    <cellStyle name="Note 10 3" xfId="419"/>
    <cellStyle name="Note 10 3 2" xfId="420"/>
    <cellStyle name="Note 10 4" xfId="421"/>
    <cellStyle name="Note 11" xfId="422"/>
    <cellStyle name="Note 11 2" xfId="423"/>
    <cellStyle name="Note 11 2 2" xfId="424"/>
    <cellStyle name="Note 11 3" xfId="425"/>
    <cellStyle name="Note 11 3 2" xfId="426"/>
    <cellStyle name="Note 11 4" xfId="427"/>
    <cellStyle name="Note 12" xfId="428"/>
    <cellStyle name="Note 12 2" xfId="429"/>
    <cellStyle name="Note 12 2 2" xfId="430"/>
    <cellStyle name="Note 12 3" xfId="431"/>
    <cellStyle name="Note 12 3 2" xfId="432"/>
    <cellStyle name="Note 12 4" xfId="433"/>
    <cellStyle name="Note 13" xfId="434"/>
    <cellStyle name="Note 13 2" xfId="435"/>
    <cellStyle name="Note 13 2 2" xfId="436"/>
    <cellStyle name="Note 13 3" xfId="437"/>
    <cellStyle name="Note 13 3 2" xfId="438"/>
    <cellStyle name="Note 13 4" xfId="439"/>
    <cellStyle name="Note 14" xfId="440"/>
    <cellStyle name="Note 14 2" xfId="441"/>
    <cellStyle name="Note 14 2 2" xfId="442"/>
    <cellStyle name="Note 14 3" xfId="443"/>
    <cellStyle name="Note 14 3 2" xfId="444"/>
    <cellStyle name="Note 14 4" xfId="445"/>
    <cellStyle name="Note 15" xfId="446"/>
    <cellStyle name="Note 15 2" xfId="447"/>
    <cellStyle name="Note 15 2 2" xfId="448"/>
    <cellStyle name="Note 15 3" xfId="449"/>
    <cellStyle name="Note 15 3 2" xfId="450"/>
    <cellStyle name="Note 15 4" xfId="451"/>
    <cellStyle name="Note 16" xfId="452"/>
    <cellStyle name="Note 16 2" xfId="453"/>
    <cellStyle name="Note 16 2 2" xfId="454"/>
    <cellStyle name="Note 16 3" xfId="455"/>
    <cellStyle name="Note 16 3 2" xfId="456"/>
    <cellStyle name="Note 16 4" xfId="457"/>
    <cellStyle name="Note 17" xfId="458"/>
    <cellStyle name="Note 17 2" xfId="459"/>
    <cellStyle name="Note 17 2 2" xfId="460"/>
    <cellStyle name="Note 17 3" xfId="461"/>
    <cellStyle name="Note 17 3 2" xfId="462"/>
    <cellStyle name="Note 17 4" xfId="463"/>
    <cellStyle name="Note 18" xfId="464"/>
    <cellStyle name="Note 18 2" xfId="465"/>
    <cellStyle name="Note 18 2 2" xfId="466"/>
    <cellStyle name="Note 18 3" xfId="467"/>
    <cellStyle name="Note 18 3 2" xfId="468"/>
    <cellStyle name="Note 18 4" xfId="469"/>
    <cellStyle name="Note 19" xfId="470"/>
    <cellStyle name="Note 19 2" xfId="471"/>
    <cellStyle name="Note 19 2 2" xfId="472"/>
    <cellStyle name="Note 19 3" xfId="473"/>
    <cellStyle name="Note 19 3 2" xfId="474"/>
    <cellStyle name="Note 19 4" xfId="475"/>
    <cellStyle name="Note 2" xfId="476"/>
    <cellStyle name="Note 2 2" xfId="477"/>
    <cellStyle name="Note 2 2 2" xfId="478"/>
    <cellStyle name="Note 2 2 3" xfId="479"/>
    <cellStyle name="Note 2 2 3 2" xfId="480"/>
    <cellStyle name="Note 2 2 3 3" xfId="481"/>
    <cellStyle name="Note 2 2 3 4" xfId="482"/>
    <cellStyle name="Note 2 2 4" xfId="483"/>
    <cellStyle name="Note 2 3" xfId="484"/>
    <cellStyle name="Note 2 3 2" xfId="485"/>
    <cellStyle name="Note 2 3 3" xfId="486"/>
    <cellStyle name="Note 2 3 3 2" xfId="487"/>
    <cellStyle name="Note 2 4" xfId="488"/>
    <cellStyle name="Note 2 4 2" xfId="489"/>
    <cellStyle name="Note 2 4 3" xfId="490"/>
    <cellStyle name="Note 2 4 4" xfId="491"/>
    <cellStyle name="Note 2 5" xfId="492"/>
    <cellStyle name="Note 2 6" xfId="493"/>
    <cellStyle name="Note 20" xfId="494"/>
    <cellStyle name="Note 20 2" xfId="495"/>
    <cellStyle name="Note 20 2 2" xfId="496"/>
    <cellStyle name="Note 20 3" xfId="497"/>
    <cellStyle name="Note 20 3 2" xfId="498"/>
    <cellStyle name="Note 20 4" xfId="499"/>
    <cellStyle name="Note 21" xfId="500"/>
    <cellStyle name="Note 21 2" xfId="501"/>
    <cellStyle name="Note 21 2 2" xfId="502"/>
    <cellStyle name="Note 21 3" xfId="503"/>
    <cellStyle name="Note 21 3 2" xfId="504"/>
    <cellStyle name="Note 21 4" xfId="505"/>
    <cellStyle name="Note 22" xfId="506"/>
    <cellStyle name="Note 22 2" xfId="507"/>
    <cellStyle name="Note 22 2 2" xfId="508"/>
    <cellStyle name="Note 22 3" xfId="509"/>
    <cellStyle name="Note 22 3 2" xfId="510"/>
    <cellStyle name="Note 22 4" xfId="511"/>
    <cellStyle name="Note 23" xfId="512"/>
    <cellStyle name="Note 23 2" xfId="513"/>
    <cellStyle name="Note 23 2 2" xfId="514"/>
    <cellStyle name="Note 23 3" xfId="515"/>
    <cellStyle name="Note 23 3 2" xfId="516"/>
    <cellStyle name="Note 23 4" xfId="517"/>
    <cellStyle name="Note 24" xfId="518"/>
    <cellStyle name="Note 24 2" xfId="519"/>
    <cellStyle name="Note 24 2 2" xfId="520"/>
    <cellStyle name="Note 24 3" xfId="521"/>
    <cellStyle name="Note 24 3 2" xfId="522"/>
    <cellStyle name="Note 24 4" xfId="523"/>
    <cellStyle name="Note 25" xfId="524"/>
    <cellStyle name="Note 25 2" xfId="525"/>
    <cellStyle name="Note 25 2 2" xfId="526"/>
    <cellStyle name="Note 25 3" xfId="527"/>
    <cellStyle name="Note 25 3 2" xfId="528"/>
    <cellStyle name="Note 25 4" xfId="529"/>
    <cellStyle name="Note 26" xfId="530"/>
    <cellStyle name="Note 26 2" xfId="531"/>
    <cellStyle name="Note 26 2 2" xfId="532"/>
    <cellStyle name="Note 26 3" xfId="533"/>
    <cellStyle name="Note 26 3 2" xfId="534"/>
    <cellStyle name="Note 26 4" xfId="535"/>
    <cellStyle name="Note 27" xfId="536"/>
    <cellStyle name="Note 27 2" xfId="537"/>
    <cellStyle name="Note 27 2 2" xfId="538"/>
    <cellStyle name="Note 27 3" xfId="539"/>
    <cellStyle name="Note 27 3 2" xfId="540"/>
    <cellStyle name="Note 27 4" xfId="541"/>
    <cellStyle name="Note 28" xfId="542"/>
    <cellStyle name="Note 28 2" xfId="543"/>
    <cellStyle name="Note 28 2 2" xfId="544"/>
    <cellStyle name="Note 28 3" xfId="545"/>
    <cellStyle name="Note 28 3 2" xfId="546"/>
    <cellStyle name="Note 28 4" xfId="547"/>
    <cellStyle name="Note 29" xfId="548"/>
    <cellStyle name="Note 29 2" xfId="549"/>
    <cellStyle name="Note 29 2 2" xfId="550"/>
    <cellStyle name="Note 29 3" xfId="551"/>
    <cellStyle name="Note 29 3 2" xfId="552"/>
    <cellStyle name="Note 29 4" xfId="553"/>
    <cellStyle name="Note 3" xfId="554"/>
    <cellStyle name="Note 3 2" xfId="555"/>
    <cellStyle name="Note 3 2 2" xfId="556"/>
    <cellStyle name="Note 3 2 3" xfId="557"/>
    <cellStyle name="Note 3 2 3 2" xfId="558"/>
    <cellStyle name="Note 3 2 3 3" xfId="559"/>
    <cellStyle name="Note 3 2 3 4" xfId="560"/>
    <cellStyle name="Note 3 2 4" xfId="561"/>
    <cellStyle name="Note 3 3" xfId="562"/>
    <cellStyle name="Note 3 3 2" xfId="563"/>
    <cellStyle name="Note 3 3 3" xfId="564"/>
    <cellStyle name="Note 3 3 3 2" xfId="565"/>
    <cellStyle name="Note 3 4" xfId="566"/>
    <cellStyle name="Note 3 4 2" xfId="567"/>
    <cellStyle name="Note 3 4 3" xfId="568"/>
    <cellStyle name="Note 3 4 4" xfId="569"/>
    <cellStyle name="Note 3 5" xfId="570"/>
    <cellStyle name="Note 30" xfId="571"/>
    <cellStyle name="Note 30 2" xfId="572"/>
    <cellStyle name="Note 30 2 2" xfId="573"/>
    <cellStyle name="Note 30 3" xfId="574"/>
    <cellStyle name="Note 30 3 2" xfId="575"/>
    <cellStyle name="Note 30 4" xfId="576"/>
    <cellStyle name="Note 31" xfId="577"/>
    <cellStyle name="Note 31 2" xfId="578"/>
    <cellStyle name="Note 31 2 2" xfId="579"/>
    <cellStyle name="Note 31 3" xfId="580"/>
    <cellStyle name="Note 31 3 2" xfId="581"/>
    <cellStyle name="Note 31 4" xfId="582"/>
    <cellStyle name="Note 32" xfId="583"/>
    <cellStyle name="Note 32 2" xfId="584"/>
    <cellStyle name="Note 32 2 2" xfId="585"/>
    <cellStyle name="Note 32 3" xfId="586"/>
    <cellStyle name="Note 32 3 2" xfId="587"/>
    <cellStyle name="Note 32 4" xfId="588"/>
    <cellStyle name="Note 33" xfId="589"/>
    <cellStyle name="Note 33 2" xfId="590"/>
    <cellStyle name="Note 33 2 2" xfId="591"/>
    <cellStyle name="Note 33 3" xfId="592"/>
    <cellStyle name="Note 33 3 2" xfId="593"/>
    <cellStyle name="Note 33 4" xfId="594"/>
    <cellStyle name="Note 4" xfId="595"/>
    <cellStyle name="Note 4 2" xfId="596"/>
    <cellStyle name="Note 4 2 2" xfId="597"/>
    <cellStyle name="Note 4 3" xfId="598"/>
    <cellStyle name="Note 5" xfId="599"/>
    <cellStyle name="Note 5 2" xfId="600"/>
    <cellStyle name="Note 5 2 2" xfId="601"/>
    <cellStyle name="Note 5 3" xfId="602"/>
    <cellStyle name="Note 5 3 2" xfId="603"/>
    <cellStyle name="Note 5 4" xfId="604"/>
    <cellStyle name="Note 6" xfId="605"/>
    <cellStyle name="Note 6 2" xfId="606"/>
    <cellStyle name="Note 6 2 2" xfId="607"/>
    <cellStyle name="Note 6 3" xfId="608"/>
    <cellStyle name="Note 6 3 2" xfId="609"/>
    <cellStyle name="Note 6 4" xfId="610"/>
    <cellStyle name="Note 7" xfId="611"/>
    <cellStyle name="Note 7 2" xfId="612"/>
    <cellStyle name="Note 7 2 2" xfId="613"/>
    <cellStyle name="Note 7 3" xfId="614"/>
    <cellStyle name="Note 7 3 2" xfId="615"/>
    <cellStyle name="Note 7 4" xfId="616"/>
    <cellStyle name="Note 8" xfId="617"/>
    <cellStyle name="Note 8 2" xfId="618"/>
    <cellStyle name="Note 8 2 2" xfId="619"/>
    <cellStyle name="Note 8 3" xfId="620"/>
    <cellStyle name="Note 8 3 2" xfId="621"/>
    <cellStyle name="Note 8 4" xfId="622"/>
    <cellStyle name="Note 9" xfId="623"/>
    <cellStyle name="Note 9 2" xfId="624"/>
    <cellStyle name="Note 9 2 2" xfId="625"/>
    <cellStyle name="Note 9 3" xfId="626"/>
    <cellStyle name="Note 9 3 2" xfId="627"/>
    <cellStyle name="Note 9 4" xfId="628"/>
    <cellStyle name="Output 2" xfId="629"/>
    <cellStyle name="Percent" xfId="2" builtinId="5"/>
    <cellStyle name="Percent 2" xfId="630"/>
    <cellStyle name="Percent 2 2" xfId="631"/>
    <cellStyle name="Percent 3" xfId="632"/>
    <cellStyle name="shaded" xfId="633"/>
    <cellStyle name="StyleName1" xfId="634"/>
    <cellStyle name="StyleName2" xfId="635"/>
    <cellStyle name="StyleName3" xfId="636"/>
    <cellStyle name="StyleName4" xfId="637"/>
    <cellStyle name="StyleName5" xfId="638"/>
    <cellStyle name="StyleName6" xfId="639"/>
    <cellStyle name="StyleName7" xfId="640"/>
    <cellStyle name="StyleName8" xfId="641"/>
    <cellStyle name="Title 2" xfId="642"/>
    <cellStyle name="Total 2" xfId="643"/>
    <cellStyle name="Warning Text 2" xfId="6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jects\2013_RentalReport\AppendixTables\CEX_Expenditur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w"/>
      <sheetName val="FormattedLinked"/>
      <sheetName val="W-10"/>
      <sheetName val="Sheet3"/>
    </sheetNames>
    <sheetDataSet>
      <sheetData sheetId="0">
        <row r="34">
          <cell r="F34">
            <v>243.1</v>
          </cell>
          <cell r="G34">
            <v>996.29000000000008</v>
          </cell>
          <cell r="H34">
            <v>158.1</v>
          </cell>
          <cell r="I34">
            <v>349.64600000000002</v>
          </cell>
          <cell r="J34">
            <v>46.061</v>
          </cell>
          <cell r="K34">
            <v>80.837999999999994</v>
          </cell>
          <cell r="L34">
            <v>75.555999999999997</v>
          </cell>
          <cell r="M34">
            <v>56.37</v>
          </cell>
          <cell r="N34">
            <v>229.71900000000005</v>
          </cell>
        </row>
        <row r="35">
          <cell r="F35">
            <v>545.54999999999995</v>
          </cell>
          <cell r="G35">
            <v>832.26</v>
          </cell>
          <cell r="H35">
            <v>133.44999999999999</v>
          </cell>
          <cell r="I35">
            <v>310.61099999999999</v>
          </cell>
          <cell r="J35">
            <v>32.290999999999997</v>
          </cell>
          <cell r="K35">
            <v>62.841999999999999</v>
          </cell>
          <cell r="L35">
            <v>81.275000000000006</v>
          </cell>
          <cell r="M35">
            <v>48.478999999999999</v>
          </cell>
          <cell r="N35">
            <v>163.31200000000001</v>
          </cell>
        </row>
        <row r="36">
          <cell r="F36">
            <v>755.2</v>
          </cell>
          <cell r="G36">
            <v>484.16999999999985</v>
          </cell>
          <cell r="H36">
            <v>55.48</v>
          </cell>
          <cell r="I36">
            <v>217.20400000000001</v>
          </cell>
          <cell r="J36">
            <v>16.488</v>
          </cell>
          <cell r="K36">
            <v>37.896000000000001</v>
          </cell>
          <cell r="L36">
            <v>38.4</v>
          </cell>
          <cell r="M36">
            <v>32.081000000000003</v>
          </cell>
          <cell r="N36">
            <v>86.62099999999981</v>
          </cell>
        </row>
        <row r="37">
          <cell r="F37">
            <v>525.89</v>
          </cell>
          <cell r="G37">
            <v>777.95999999999992</v>
          </cell>
          <cell r="H37">
            <v>118.18</v>
          </cell>
          <cell r="I37">
            <v>294.76</v>
          </cell>
          <cell r="J37">
            <v>31.452000000000002</v>
          </cell>
          <cell r="K37">
            <v>60.555</v>
          </cell>
          <cell r="L37">
            <v>67.921999999999997</v>
          </cell>
          <cell r="M37">
            <v>45.963000000000001</v>
          </cell>
          <cell r="N37">
            <v>159.12799999999993</v>
          </cell>
        </row>
        <row r="38">
          <cell r="F38">
            <v>571.54999999999995</v>
          </cell>
          <cell r="G38">
            <v>2010.3100000000002</v>
          </cell>
          <cell r="H38">
            <v>375.66</v>
          </cell>
          <cell r="I38">
            <v>522.15599999999995</v>
          </cell>
          <cell r="J38">
            <v>78.623000000000005</v>
          </cell>
          <cell r="K38">
            <v>136.994</v>
          </cell>
          <cell r="L38">
            <v>251.30199999999999</v>
          </cell>
          <cell r="M38">
            <v>109.14100000000001</v>
          </cell>
          <cell r="N38">
            <v>536.4340000000002</v>
          </cell>
        </row>
        <row r="39">
          <cell r="F39">
            <v>957.35</v>
          </cell>
          <cell r="G39">
            <v>1544.4700000000003</v>
          </cell>
          <cell r="H39">
            <v>284</v>
          </cell>
          <cell r="I39">
            <v>482.37299999999999</v>
          </cell>
          <cell r="J39">
            <v>59.558999999999997</v>
          </cell>
          <cell r="K39">
            <v>92.762</v>
          </cell>
          <cell r="L39">
            <v>224.37700000000001</v>
          </cell>
          <cell r="M39">
            <v>89.619</v>
          </cell>
          <cell r="N39">
            <v>311.78000000000043</v>
          </cell>
        </row>
        <row r="40">
          <cell r="F40">
            <v>1425.4</v>
          </cell>
          <cell r="G40">
            <v>1019.69</v>
          </cell>
          <cell r="H40">
            <v>162.94</v>
          </cell>
          <cell r="I40">
            <v>388.952</v>
          </cell>
          <cell r="J40">
            <v>37.265999999999998</v>
          </cell>
          <cell r="K40">
            <v>58.646000000000001</v>
          </cell>
          <cell r="L40">
            <v>141.006</v>
          </cell>
          <cell r="M40">
            <v>65.656999999999996</v>
          </cell>
          <cell r="N40">
            <v>165.22300000000007</v>
          </cell>
        </row>
        <row r="41">
          <cell r="F41">
            <v>875.29</v>
          </cell>
          <cell r="G41">
            <v>1648.3200000000002</v>
          </cell>
          <cell r="H41">
            <v>302.33</v>
          </cell>
          <cell r="I41">
            <v>485.50400000000002</v>
          </cell>
          <cell r="J41">
            <v>63.712000000000003</v>
          </cell>
          <cell r="K41">
            <v>104.47799999999999</v>
          </cell>
          <cell r="L41">
            <v>224.11799999999999</v>
          </cell>
          <cell r="M41">
            <v>93.738</v>
          </cell>
          <cell r="N41">
            <v>374.44000000000005</v>
          </cell>
        </row>
        <row r="42">
          <cell r="F42">
            <v>858.46</v>
          </cell>
          <cell r="G42">
            <v>3114.11</v>
          </cell>
          <cell r="H42">
            <v>608.11</v>
          </cell>
          <cell r="I42">
            <v>679.654</v>
          </cell>
          <cell r="J42">
            <v>134.37799999999999</v>
          </cell>
          <cell r="K42">
            <v>223.571</v>
          </cell>
          <cell r="L42">
            <v>400.80099999999999</v>
          </cell>
          <cell r="M42">
            <v>184.864</v>
          </cell>
          <cell r="N42">
            <v>882.73200000000043</v>
          </cell>
        </row>
        <row r="43">
          <cell r="F43">
            <v>1423.13</v>
          </cell>
          <cell r="G43">
            <v>2434.69</v>
          </cell>
          <cell r="H43">
            <v>424.06</v>
          </cell>
          <cell r="I43">
            <v>667.41899999999998</v>
          </cell>
          <cell r="J43">
            <v>102.096</v>
          </cell>
          <cell r="K43">
            <v>187.02500000000001</v>
          </cell>
          <cell r="L43">
            <v>381.279</v>
          </cell>
          <cell r="M43">
            <v>139.006</v>
          </cell>
          <cell r="N43">
            <v>533.80499999999984</v>
          </cell>
        </row>
        <row r="44">
          <cell r="F44">
            <v>2474.54</v>
          </cell>
          <cell r="G44">
            <v>1462.27</v>
          </cell>
          <cell r="H44">
            <v>206.87</v>
          </cell>
          <cell r="I44">
            <v>447.71699999999998</v>
          </cell>
          <cell r="J44">
            <v>45.341999999999999</v>
          </cell>
          <cell r="K44">
            <v>161.99</v>
          </cell>
          <cell r="L44">
            <v>220.232</v>
          </cell>
          <cell r="M44">
            <v>79.356999999999999</v>
          </cell>
          <cell r="N44">
            <v>300.76199999999994</v>
          </cell>
        </row>
        <row r="45">
          <cell r="F45">
            <v>1193.24</v>
          </cell>
          <cell r="G45">
            <v>2733.71</v>
          </cell>
          <cell r="H45">
            <v>508.6</v>
          </cell>
          <cell r="I45">
            <v>657.31799999999998</v>
          </cell>
          <cell r="J45">
            <v>115.496</v>
          </cell>
          <cell r="K45">
            <v>205.19800000000001</v>
          </cell>
          <cell r="L45">
            <v>379.67599999999999</v>
          </cell>
          <cell r="M45">
            <v>159.64699999999999</v>
          </cell>
          <cell r="N45">
            <v>707.77499999999986</v>
          </cell>
        </row>
        <row r="46">
          <cell r="F46">
            <v>1254.1500000000001</v>
          </cell>
          <cell r="G46">
            <v>7056.76</v>
          </cell>
          <cell r="H46">
            <v>2485.86</v>
          </cell>
          <cell r="I46">
            <v>896.65800000000002</v>
          </cell>
          <cell r="J46">
            <v>232.274</v>
          </cell>
          <cell r="K46">
            <v>371.01900000000001</v>
          </cell>
          <cell r="L46">
            <v>654.65899999999999</v>
          </cell>
          <cell r="M46">
            <v>343.38099999999997</v>
          </cell>
          <cell r="N46">
            <v>2072.9090000000006</v>
          </cell>
        </row>
        <row r="47">
          <cell r="F47">
            <v>2532.35</v>
          </cell>
          <cell r="G47">
            <v>4144.99</v>
          </cell>
          <cell r="H47">
            <v>630.99</v>
          </cell>
          <cell r="I47">
            <v>937.32899999999995</v>
          </cell>
          <cell r="J47">
            <v>185.82</v>
          </cell>
          <cell r="K47">
            <v>297.46600000000001</v>
          </cell>
          <cell r="L47">
            <v>784.79100000000005</v>
          </cell>
          <cell r="M47">
            <v>233.34899999999999</v>
          </cell>
          <cell r="N47">
            <v>1075.2449999999994</v>
          </cell>
        </row>
        <row r="48">
          <cell r="F48">
            <v>3072.11</v>
          </cell>
          <cell r="G48">
            <v>2524.9599999999996</v>
          </cell>
          <cell r="H48">
            <v>355.42</v>
          </cell>
          <cell r="I48">
            <v>679.81600000000003</v>
          </cell>
          <cell r="J48">
            <v>88.655000000000001</v>
          </cell>
          <cell r="K48">
            <v>199.96100000000001</v>
          </cell>
          <cell r="L48">
            <v>489.49299999999999</v>
          </cell>
          <cell r="M48">
            <v>184.47800000000001</v>
          </cell>
          <cell r="N48">
            <v>527.13699999999949</v>
          </cell>
        </row>
        <row r="49">
          <cell r="F49">
            <v>1587.18</v>
          </cell>
          <cell r="G49">
            <v>6284.37</v>
          </cell>
          <cell r="H49">
            <v>2020.43</v>
          </cell>
          <cell r="I49">
            <v>897.59100000000001</v>
          </cell>
          <cell r="J49">
            <v>217.44200000000001</v>
          </cell>
          <cell r="K49">
            <v>349.517</v>
          </cell>
          <cell r="L49">
            <v>676.24300000000005</v>
          </cell>
          <cell r="M49">
            <v>314.62799999999999</v>
          </cell>
          <cell r="N49">
            <v>1808.5190000000002</v>
          </cell>
        </row>
      </sheetData>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C22"/>
  <sheetViews>
    <sheetView zoomScaleNormal="100" zoomScalePageLayoutView="125" workbookViewId="0">
      <selection activeCell="C22" sqref="C22"/>
    </sheetView>
  </sheetViews>
  <sheetFormatPr defaultColWidth="8.85546875" defaultRowHeight="15"/>
  <cols>
    <col min="2" max="2" width="11.140625" customWidth="1"/>
    <col min="3" max="3" width="87.28515625" bestFit="1" customWidth="1"/>
  </cols>
  <sheetData>
    <row r="4" spans="2:3">
      <c r="C4" s="1" t="s">
        <v>241</v>
      </c>
    </row>
    <row r="5" spans="2:3">
      <c r="B5" s="104" t="s">
        <v>0</v>
      </c>
      <c r="C5" s="180" t="s">
        <v>286</v>
      </c>
    </row>
    <row r="6" spans="2:3">
      <c r="B6" s="104" t="s">
        <v>1</v>
      </c>
      <c r="C6" s="104" t="s">
        <v>376</v>
      </c>
    </row>
    <row r="7" spans="2:3">
      <c r="B7" s="104" t="s">
        <v>2</v>
      </c>
      <c r="C7" s="104" t="s">
        <v>50</v>
      </c>
    </row>
    <row r="8" spans="2:3">
      <c r="B8" s="104" t="s">
        <v>3</v>
      </c>
      <c r="C8" s="104" t="s">
        <v>269</v>
      </c>
    </row>
    <row r="9" spans="2:3">
      <c r="B9" s="104" t="s">
        <v>4</v>
      </c>
      <c r="C9" s="104" t="s">
        <v>375</v>
      </c>
    </row>
    <row r="10" spans="2:3">
      <c r="B10" s="104" t="s">
        <v>5</v>
      </c>
      <c r="C10" s="104" t="s">
        <v>287</v>
      </c>
    </row>
    <row r="11" spans="2:3">
      <c r="B11" t="s">
        <v>374</v>
      </c>
      <c r="C11" s="143" t="s">
        <v>266</v>
      </c>
    </row>
    <row r="13" spans="2:3">
      <c r="B13" t="s">
        <v>270</v>
      </c>
      <c r="C13" s="2" t="s">
        <v>267</v>
      </c>
    </row>
    <row r="14" spans="2:3">
      <c r="B14" t="s">
        <v>271</v>
      </c>
      <c r="C14" t="s">
        <v>288</v>
      </c>
    </row>
    <row r="15" spans="2:3">
      <c r="B15" t="s">
        <v>276</v>
      </c>
      <c r="C15" t="s">
        <v>289</v>
      </c>
    </row>
    <row r="16" spans="2:3">
      <c r="B16" t="s">
        <v>278</v>
      </c>
      <c r="C16" t="s">
        <v>290</v>
      </c>
    </row>
    <row r="17" spans="2:3">
      <c r="B17" t="s">
        <v>279</v>
      </c>
      <c r="C17" t="s">
        <v>291</v>
      </c>
    </row>
    <row r="18" spans="2:3">
      <c r="B18" t="s">
        <v>280</v>
      </c>
      <c r="C18" s="2" t="s">
        <v>268</v>
      </c>
    </row>
    <row r="19" spans="2:3">
      <c r="B19" t="s">
        <v>281</v>
      </c>
      <c r="C19" t="s">
        <v>220</v>
      </c>
    </row>
    <row r="20" spans="2:3">
      <c r="B20" t="s">
        <v>282</v>
      </c>
      <c r="C20" s="2" t="s">
        <v>292</v>
      </c>
    </row>
    <row r="21" spans="2:3">
      <c r="B21" t="s">
        <v>283</v>
      </c>
      <c r="C21" t="s">
        <v>293</v>
      </c>
    </row>
    <row r="22" spans="2:3">
      <c r="B22" t="s">
        <v>396</v>
      </c>
      <c r="C22" s="2" t="s">
        <v>395</v>
      </c>
    </row>
  </sheetData>
  <pageMargins left="0.7" right="0.7" top="0.75" bottom="0.75" header="0.3" footer="0.3"/>
  <pageSetup scale="92" orientation="portrait"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1"/>
  <sheetViews>
    <sheetView workbookViewId="0">
      <selection activeCell="A3" sqref="A3"/>
    </sheetView>
  </sheetViews>
  <sheetFormatPr defaultColWidth="8.85546875" defaultRowHeight="15"/>
  <cols>
    <col min="1" max="1" width="34.42578125" customWidth="1"/>
    <col min="2" max="4" width="11.42578125" bestFit="1" customWidth="1"/>
    <col min="5" max="5" width="11.7109375" bestFit="1" customWidth="1"/>
    <col min="6" max="6" width="13.85546875" customWidth="1"/>
    <col min="9" max="9" width="31.7109375" customWidth="1"/>
  </cols>
  <sheetData>
    <row r="2" spans="1:16">
      <c r="A2" s="1" t="s">
        <v>402</v>
      </c>
      <c r="I2" s="1"/>
    </row>
    <row r="4" spans="1:16">
      <c r="B4" t="s">
        <v>277</v>
      </c>
      <c r="J4" t="s">
        <v>272</v>
      </c>
    </row>
    <row r="5" spans="1:16" ht="45">
      <c r="A5" s="45" t="s">
        <v>274</v>
      </c>
      <c r="B5" s="45" t="s">
        <v>103</v>
      </c>
      <c r="C5" s="45" t="s">
        <v>104</v>
      </c>
      <c r="D5" s="45" t="s">
        <v>105</v>
      </c>
      <c r="E5" s="45" t="s">
        <v>106</v>
      </c>
      <c r="F5" s="45" t="s">
        <v>107</v>
      </c>
      <c r="I5" s="19" t="s">
        <v>273</v>
      </c>
      <c r="J5" s="334" t="s">
        <v>275</v>
      </c>
      <c r="K5" s="334"/>
      <c r="L5" s="334"/>
      <c r="M5" s="334"/>
      <c r="N5" s="334"/>
      <c r="O5" s="334"/>
    </row>
    <row r="6" spans="1:16">
      <c r="A6" s="45"/>
      <c r="B6" s="45"/>
      <c r="C6" s="45"/>
      <c r="D6" s="45"/>
      <c r="E6" s="45"/>
      <c r="F6" s="45"/>
      <c r="I6" s="19"/>
      <c r="J6" s="163"/>
      <c r="K6" s="163"/>
      <c r="L6" s="163"/>
      <c r="M6" s="163"/>
      <c r="N6" s="163"/>
      <c r="O6" s="163"/>
    </row>
    <row r="7" spans="1:16">
      <c r="A7" s="19" t="s">
        <v>29</v>
      </c>
      <c r="B7" s="164">
        <f>0.155165565972383*(100)</f>
        <v>15.516556597238301</v>
      </c>
      <c r="C7" s="164">
        <f>0.555322588094029*(100)</f>
        <v>55.532258809402904</v>
      </c>
      <c r="D7" s="164">
        <f>0.0663741744792869*(100)</f>
        <v>6.6374174479286898</v>
      </c>
      <c r="E7" s="164">
        <f>0.131094998383596*(100)</f>
        <v>13.1094998383596</v>
      </c>
      <c r="F7" s="164">
        <f>0.0920426730707061*(100)</f>
        <v>9.2042673070706105</v>
      </c>
      <c r="I7" s="21"/>
      <c r="J7" s="19">
        <v>0</v>
      </c>
      <c r="K7" s="19">
        <v>1</v>
      </c>
      <c r="L7" s="19">
        <v>2</v>
      </c>
      <c r="M7" s="19">
        <v>3</v>
      </c>
      <c r="N7" s="19">
        <v>4</v>
      </c>
      <c r="O7" s="19">
        <v>5</v>
      </c>
    </row>
    <row r="8" spans="1:16">
      <c r="A8" s="21"/>
      <c r="B8" s="83"/>
      <c r="C8" s="83"/>
      <c r="D8" s="83"/>
      <c r="E8" s="83"/>
      <c r="F8" s="83"/>
      <c r="I8" s="21" t="s">
        <v>103</v>
      </c>
      <c r="J8" s="85">
        <v>23.721650098220131</v>
      </c>
      <c r="K8" s="85">
        <v>18.084409786296803</v>
      </c>
      <c r="L8" s="85">
        <v>19.024941960831001</v>
      </c>
      <c r="M8" s="85">
        <v>16.745044347877851</v>
      </c>
      <c r="N8" s="85">
        <v>13.000773855586642</v>
      </c>
      <c r="O8" s="85">
        <v>9.4231799511875707</v>
      </c>
    </row>
    <row r="9" spans="1:16">
      <c r="A9" s="19" t="s">
        <v>11</v>
      </c>
      <c r="B9" s="83"/>
      <c r="C9" s="83"/>
      <c r="D9" s="83"/>
      <c r="E9" s="83"/>
      <c r="F9" s="83"/>
      <c r="I9" s="21" t="s">
        <v>104</v>
      </c>
      <c r="J9" s="85">
        <v>71.248461461694561</v>
      </c>
      <c r="K9" s="85">
        <v>21.220185622567449</v>
      </c>
      <c r="L9" s="85">
        <v>5.9329363627291176</v>
      </c>
      <c r="M9" s="85">
        <v>1.440404510827983</v>
      </c>
      <c r="N9" s="85">
        <v>0.15801204218089884</v>
      </c>
      <c r="O9" s="85">
        <v>0</v>
      </c>
    </row>
    <row r="10" spans="1:16">
      <c r="A10" s="88" t="s">
        <v>208</v>
      </c>
      <c r="B10" s="83">
        <f>0.24889466840052*(100)</f>
        <v>24.889466840051998</v>
      </c>
      <c r="C10" s="83">
        <f>0.18185955786736*(100)</f>
        <v>18.185955786735999</v>
      </c>
      <c r="D10" s="83">
        <f>0.0362808842652796*(100)</f>
        <v>3.6280884265279605</v>
      </c>
      <c r="E10" s="83">
        <f>0.338556566970091*(100)</f>
        <v>33.855656697009103</v>
      </c>
      <c r="F10" s="83">
        <f>0.194343302990897*(100)</f>
        <v>19.434330299089702</v>
      </c>
      <c r="I10" s="21" t="s">
        <v>105</v>
      </c>
      <c r="J10" s="85">
        <v>13.289730030615084</v>
      </c>
      <c r="K10" s="85">
        <v>32.22933481770108</v>
      </c>
      <c r="L10" s="85">
        <v>25.925410520456442</v>
      </c>
      <c r="M10" s="85">
        <v>17.575841914834399</v>
      </c>
      <c r="N10" s="85">
        <v>9.532424158085167</v>
      </c>
      <c r="O10" s="85">
        <v>1.4472585583078206</v>
      </c>
    </row>
    <row r="11" spans="1:16">
      <c r="A11" s="88" t="s">
        <v>108</v>
      </c>
      <c r="B11" s="83">
        <f>0.196539210479731*(100)</f>
        <v>19.6539210479731</v>
      </c>
      <c r="C11" s="83">
        <f>0.447335811648079*(100)</f>
        <v>44.733581164807902</v>
      </c>
      <c r="D11" s="83">
        <f>0.0580191184280404*(100)</f>
        <v>5.8019118428040404</v>
      </c>
      <c r="E11" s="83">
        <f>0.180739953974155*(100)</f>
        <v>18.073995397415498</v>
      </c>
      <c r="F11" s="83">
        <f>0.117365905469995*(100)</f>
        <v>11.7365905469995</v>
      </c>
      <c r="I11" s="21" t="s">
        <v>106</v>
      </c>
      <c r="J11" s="85">
        <v>8.8212499119284153</v>
      </c>
      <c r="K11" s="85">
        <v>30.106390474177413</v>
      </c>
      <c r="L11" s="85">
        <v>31.515535827520608</v>
      </c>
      <c r="M11" s="85">
        <v>17.564996829422956</v>
      </c>
      <c r="N11" s="85">
        <v>9.793560205735222</v>
      </c>
      <c r="O11" s="85">
        <v>2.1982667512153879</v>
      </c>
    </row>
    <row r="12" spans="1:16">
      <c r="A12" s="88" t="s">
        <v>109</v>
      </c>
      <c r="B12" s="83">
        <f>0.143704154156056*(100)</f>
        <v>14.370415415605601</v>
      </c>
      <c r="C12" s="83">
        <f>0.612443464710577*(100)</f>
        <v>61.244346471057696</v>
      </c>
      <c r="D12" s="83">
        <f>0.0513853521340884*(100)</f>
        <v>5.13853521340884</v>
      </c>
      <c r="E12" s="83">
        <f>0.106153319904223*(100)</f>
        <v>10.6153319904223</v>
      </c>
      <c r="F12" s="83">
        <f>0.0863137090950553*(100)</f>
        <v>8.6313709095055291</v>
      </c>
      <c r="I12" s="21" t="s">
        <v>107</v>
      </c>
      <c r="J12" s="85">
        <v>9.703963873557452</v>
      </c>
      <c r="K12" s="85">
        <v>11.289513296537883</v>
      </c>
      <c r="L12" s="85">
        <v>22.860010035122929</v>
      </c>
      <c r="M12" s="85">
        <v>27.415955845459106</v>
      </c>
      <c r="N12" s="85">
        <v>18.956347215253384</v>
      </c>
      <c r="O12" s="85">
        <v>9.7742097340692418</v>
      </c>
    </row>
    <row r="13" spans="1:16">
      <c r="A13" s="88" t="s">
        <v>110</v>
      </c>
      <c r="B13" s="83">
        <f>0.0953837847565914*(100)</f>
        <v>9.5383784756591403</v>
      </c>
      <c r="C13" s="83">
        <f>0.722037253666877*(100)</f>
        <v>72.203725366687692</v>
      </c>
      <c r="D13" s="83">
        <f>0.0575452173130568*(100)</f>
        <v>5.7545217313056796</v>
      </c>
      <c r="E13" s="83">
        <f>0.0711778997570413*(100)</f>
        <v>7.1177899757041292</v>
      </c>
      <c r="F13" s="83">
        <f>0.0538558445064339*(100)</f>
        <v>5.3855844506433899</v>
      </c>
      <c r="I13" s="21" t="s">
        <v>7</v>
      </c>
      <c r="J13" s="85">
        <v>46.178358656999031</v>
      </c>
      <c r="K13" s="85">
        <v>21.716159423636448</v>
      </c>
      <c r="L13" s="85">
        <v>14.203112732646748</v>
      </c>
      <c r="M13" s="85">
        <v>9.3899228744284855</v>
      </c>
      <c r="N13" s="85">
        <v>5.7664065025631555</v>
      </c>
      <c r="O13" s="85">
        <v>2.7460398097261347</v>
      </c>
    </row>
    <row r="14" spans="1:16">
      <c r="A14" s="88" t="s">
        <v>111</v>
      </c>
      <c r="B14" s="83">
        <f>0.123866566841361*(100)</f>
        <v>12.386656684136101</v>
      </c>
      <c r="C14" s="83">
        <f>0.734714250062391*(100)</f>
        <v>73.471425006239102</v>
      </c>
      <c r="D14" s="83">
        <f>0.0732052241909991*(100)</f>
        <v>7.3205224190999107</v>
      </c>
      <c r="E14" s="83">
        <f>0.038183179435987*(100)</f>
        <v>3.8183179435987</v>
      </c>
      <c r="F14" s="83">
        <f>0.0300307794692621*(100)</f>
        <v>3.0030779469262097</v>
      </c>
    </row>
    <row r="15" spans="1:16">
      <c r="A15" s="88" t="s">
        <v>262</v>
      </c>
      <c r="B15" s="83">
        <f>0.117163412127441*(100)</f>
        <v>11.7163412127441</v>
      </c>
      <c r="C15" s="83">
        <f>0.63967112024666*(100)</f>
        <v>63.967112024665994</v>
      </c>
      <c r="D15" s="83">
        <f>0.185405960945529*(100)</f>
        <v>18.5405960945529</v>
      </c>
      <c r="E15" s="83">
        <f>0.00688591983556012*(100)</f>
        <v>0.68859198355601203</v>
      </c>
      <c r="F15" s="83">
        <f>0.0509763617677287*(100)</f>
        <v>5.0976361767728697</v>
      </c>
      <c r="I15" s="333"/>
      <c r="J15" s="333"/>
      <c r="K15" s="333"/>
      <c r="L15" s="333"/>
      <c r="M15" s="333"/>
      <c r="N15" s="333"/>
      <c r="O15" s="333"/>
      <c r="P15" s="333"/>
    </row>
    <row r="16" spans="1:16">
      <c r="A16" s="21"/>
      <c r="B16" s="83"/>
      <c r="C16" s="83"/>
      <c r="D16" s="83"/>
      <c r="E16" s="83"/>
      <c r="F16" s="83"/>
      <c r="I16" s="333"/>
      <c r="J16" s="333"/>
      <c r="K16" s="333"/>
      <c r="L16" s="333"/>
      <c r="M16" s="333"/>
      <c r="N16" s="333"/>
      <c r="O16" s="333"/>
      <c r="P16" s="333"/>
    </row>
    <row r="17" spans="1:16">
      <c r="A17" s="89" t="s">
        <v>67</v>
      </c>
      <c r="B17" s="83"/>
      <c r="C17" s="83"/>
      <c r="D17" s="83"/>
      <c r="E17" s="83"/>
      <c r="F17" s="83"/>
      <c r="I17" s="333"/>
      <c r="J17" s="333"/>
      <c r="K17" s="333"/>
      <c r="L17" s="333"/>
      <c r="M17" s="333"/>
      <c r="N17" s="333"/>
      <c r="O17" s="333"/>
      <c r="P17" s="333"/>
    </row>
    <row r="18" spans="1:16">
      <c r="A18" s="88" t="s">
        <v>68</v>
      </c>
      <c r="B18" s="83">
        <f>0.112600601182973*(100)</f>
        <v>11.2600601182973</v>
      </c>
      <c r="C18" s="83">
        <f>0.609364394453602*(100)</f>
        <v>60.9364394453602</v>
      </c>
      <c r="D18" s="83">
        <f>0.0655119751769611*(100)</f>
        <v>6.5511975176961101</v>
      </c>
      <c r="E18" s="83">
        <f>0.127302918646369*(100)</f>
        <v>12.7302918646369</v>
      </c>
      <c r="F18" s="83">
        <f>0.0852079899156405*(100)</f>
        <v>8.5207989915640514</v>
      </c>
    </row>
    <row r="19" spans="1:16">
      <c r="A19" s="88" t="s">
        <v>69</v>
      </c>
      <c r="B19" s="83">
        <f>0.365965499672465*(100)</f>
        <v>36.596549967246503</v>
      </c>
      <c r="C19" s="83">
        <f>0.32826261008807*(100)</f>
        <v>32.826261008807002</v>
      </c>
      <c r="D19" s="83">
        <f>0.0649974525074605*(100)</f>
        <v>6.4997452507460505</v>
      </c>
      <c r="E19" s="83">
        <f>0.130941116529587*(100)</f>
        <v>13.0941116529587</v>
      </c>
      <c r="F19" s="83">
        <f>0.109833321202416*(100)</f>
        <v>10.983332120241601</v>
      </c>
    </row>
    <row r="20" spans="1:16">
      <c r="A20" s="88" t="s">
        <v>70</v>
      </c>
      <c r="B20" s="83">
        <f>0.188751472320377*(100)</f>
        <v>18.875147232037701</v>
      </c>
      <c r="C20" s="83">
        <f>0.474676089517079*(100)</f>
        <v>47.467608951707902</v>
      </c>
      <c r="D20" s="83">
        <f>0.0591872791519435*(100)</f>
        <v>5.9187279151943502</v>
      </c>
      <c r="E20" s="83">
        <f>0.190518256772674*(100)</f>
        <v>19.051825677267402</v>
      </c>
      <c r="F20" s="83">
        <f>0.0871613663133098*(100)</f>
        <v>8.7161366313309792</v>
      </c>
    </row>
    <row r="21" spans="1:16">
      <c r="A21" s="88" t="s">
        <v>14</v>
      </c>
      <c r="B21" s="83">
        <f>0.21938963108224*(100)</f>
        <v>21.938963108223998</v>
      </c>
      <c r="C21" s="83">
        <f>0.434612084814315*(100)</f>
        <v>43.461208481431498</v>
      </c>
      <c r="D21" s="83">
        <f>0.0748866282632676*(100)</f>
        <v>7.4886628263267596</v>
      </c>
      <c r="E21" s="83">
        <f>0.141193773746783*(100)</f>
        <v>14.119377374678299</v>
      </c>
      <c r="F21" s="83">
        <f>0.130040446133105*(100)</f>
        <v>13.0040446133105</v>
      </c>
    </row>
    <row r="22" spans="1:16">
      <c r="A22" s="21"/>
      <c r="B22" s="83"/>
      <c r="C22" s="83"/>
      <c r="D22" s="83"/>
      <c r="E22" s="83"/>
      <c r="F22" s="83"/>
    </row>
    <row r="23" spans="1:16">
      <c r="A23" s="19" t="s">
        <v>112</v>
      </c>
      <c r="B23" s="83"/>
      <c r="C23" s="83"/>
      <c r="D23" s="83"/>
      <c r="E23" s="83"/>
      <c r="F23" s="83"/>
    </row>
    <row r="24" spans="1:16">
      <c r="A24" s="88" t="s">
        <v>113</v>
      </c>
      <c r="B24" s="83">
        <f>0.371032432058641*(100)</f>
        <v>37.103243205864104</v>
      </c>
      <c r="C24" s="83">
        <f>0.328262222529562*(100)</f>
        <v>32.8262222529562</v>
      </c>
      <c r="D24" s="83">
        <f>0.114480326395132*(100)</f>
        <v>11.448032639513201</v>
      </c>
      <c r="E24" s="83">
        <f>0.0801466012032363*(100)</f>
        <v>8.0146601203236294</v>
      </c>
      <c r="F24" s="83">
        <f>0.106043842057949*(100)</f>
        <v>10.604384205794901</v>
      </c>
    </row>
    <row r="25" spans="1:16">
      <c r="A25" s="88" t="s">
        <v>114</v>
      </c>
      <c r="B25" s="83">
        <f>0.154475089937861*(100)</f>
        <v>15.4475089937861</v>
      </c>
      <c r="C25" s="83">
        <f>0.512409607907264*(100)</f>
        <v>51.240960790726398</v>
      </c>
      <c r="D25" s="83">
        <f>0.0734038300810349*(100)</f>
        <v>7.3403830081034904</v>
      </c>
      <c r="E25" s="83">
        <f>0.146407936334896*(100)</f>
        <v>14.640793633489599</v>
      </c>
      <c r="F25" s="83">
        <f>0.113303535738944*(100)</f>
        <v>11.330353573894399</v>
      </c>
    </row>
    <row r="26" spans="1:16">
      <c r="A26" s="88" t="s">
        <v>115</v>
      </c>
      <c r="B26" s="83">
        <f>0.055759296502228*(100)</f>
        <v>5.5759296502228004</v>
      </c>
      <c r="C26" s="83">
        <f>0.628573681927521*(100)</f>
        <v>62.857368192752105</v>
      </c>
      <c r="D26" s="83">
        <f>0.0421940928270042*(100)</f>
        <v>4.2194092827004193</v>
      </c>
      <c r="E26" s="83">
        <f>0.188927008162782*(100)</f>
        <v>18.8927008162782</v>
      </c>
      <c r="F26" s="83">
        <f>0.0845853543120786*(100)</f>
        <v>8.45853543120786</v>
      </c>
    </row>
    <row r="27" spans="1:16">
      <c r="A27" s="88" t="s">
        <v>116</v>
      </c>
      <c r="B27" s="83">
        <f>0.0152270838056374*(100)</f>
        <v>1.52270838056374</v>
      </c>
      <c r="C27" s="83">
        <f>0.777903725534648*(100)</f>
        <v>77.790372553464806</v>
      </c>
      <c r="D27" s="83">
        <f>0.029660696742991*(100)</f>
        <v>2.9660696742990997</v>
      </c>
      <c r="E27" s="83">
        <f>0.115431119171768*(100)</f>
        <v>11.5431119171768</v>
      </c>
      <c r="F27" s="83">
        <f>0.0617773747449558*(100)</f>
        <v>6.1777374744955802</v>
      </c>
    </row>
    <row r="29" spans="1:16">
      <c r="A29" s="333" t="s">
        <v>258</v>
      </c>
      <c r="B29" s="333"/>
      <c r="C29" s="333"/>
      <c r="D29" s="333"/>
      <c r="E29" s="333"/>
      <c r="F29" s="333"/>
      <c r="G29" s="333"/>
      <c r="H29" s="333"/>
    </row>
    <row r="30" spans="1:16">
      <c r="A30" s="333"/>
      <c r="B30" s="333"/>
      <c r="C30" s="333"/>
      <c r="D30" s="333"/>
      <c r="E30" s="333"/>
      <c r="F30" s="333"/>
      <c r="G30" s="333"/>
      <c r="H30" s="333"/>
    </row>
    <row r="31" spans="1:16">
      <c r="A31" s="333"/>
      <c r="B31" s="333"/>
      <c r="C31" s="333"/>
      <c r="D31" s="333"/>
      <c r="E31" s="333"/>
      <c r="F31" s="333"/>
      <c r="G31" s="333"/>
      <c r="H31" s="333"/>
    </row>
  </sheetData>
  <mergeCells count="3">
    <mergeCell ref="A29:H31"/>
    <mergeCell ref="J5:O5"/>
    <mergeCell ref="I15:P17"/>
  </mergeCells>
  <pageMargins left="0.7" right="0.7" top="0.75" bottom="0.75" header="0.3" footer="0.3"/>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4"/>
  <sheetViews>
    <sheetView workbookViewId="0">
      <selection activeCell="A3" sqref="A3"/>
    </sheetView>
  </sheetViews>
  <sheetFormatPr defaultColWidth="8.85546875" defaultRowHeight="15"/>
  <cols>
    <col min="1" max="1" width="10.28515625" bestFit="1" customWidth="1"/>
    <col min="2" max="2" width="18.7109375" bestFit="1" customWidth="1"/>
    <col min="3" max="3" width="12.7109375" style="34" customWidth="1"/>
    <col min="4" max="4" width="8.7109375" style="34" customWidth="1"/>
    <col min="5" max="5" width="2.7109375" style="34" customWidth="1"/>
    <col min="6" max="6" width="12.7109375" style="34" customWidth="1"/>
    <col min="7" max="7" width="8.7109375" style="34" customWidth="1"/>
    <col min="8" max="8" width="2.7109375" style="34" customWidth="1"/>
    <col min="9" max="9" width="12.7109375" style="34" customWidth="1"/>
    <col min="10" max="10" width="8.7109375" style="34" customWidth="1"/>
    <col min="11" max="11" width="2.7109375" style="34" customWidth="1"/>
    <col min="12" max="12" width="12.7109375" style="34" customWidth="1"/>
    <col min="13" max="13" width="8.7109375" style="34" customWidth="1"/>
    <col min="14" max="14" width="2.7109375" style="34" customWidth="1"/>
    <col min="15" max="15" width="13.7109375" style="34" customWidth="1"/>
    <col min="16" max="16" width="8.7109375" style="34" customWidth="1"/>
    <col min="17" max="17" width="2.7109375" style="34" customWidth="1"/>
    <col min="18" max="18" width="12.7109375" style="34" customWidth="1"/>
    <col min="19" max="19" width="8.7109375" style="34" customWidth="1"/>
  </cols>
  <sheetData>
    <row r="2" spans="1:26">
      <c r="A2" s="1" t="s">
        <v>403</v>
      </c>
      <c r="B2" s="1"/>
    </row>
    <row r="4" spans="1:26" ht="45">
      <c r="B4" s="99" t="s">
        <v>136</v>
      </c>
      <c r="C4" s="100" t="s">
        <v>250</v>
      </c>
      <c r="D4" s="101" t="s">
        <v>137</v>
      </c>
      <c r="E4" s="101"/>
      <c r="F4" s="100" t="s">
        <v>251</v>
      </c>
      <c r="G4" s="101" t="s">
        <v>137</v>
      </c>
      <c r="H4" s="101"/>
      <c r="I4" s="100" t="s">
        <v>252</v>
      </c>
      <c r="J4" s="101" t="s">
        <v>137</v>
      </c>
      <c r="K4" s="101"/>
      <c r="L4" s="100" t="s">
        <v>138</v>
      </c>
      <c r="M4" s="101" t="s">
        <v>137</v>
      </c>
      <c r="N4" s="101"/>
      <c r="O4" s="100" t="s">
        <v>249</v>
      </c>
      <c r="P4" s="101" t="s">
        <v>137</v>
      </c>
      <c r="Q4" s="101"/>
      <c r="R4" s="100" t="s">
        <v>248</v>
      </c>
      <c r="S4" s="101" t="s">
        <v>137</v>
      </c>
      <c r="V4" s="335"/>
      <c r="W4" s="336"/>
      <c r="X4" s="336"/>
    </row>
    <row r="5" spans="1:26">
      <c r="B5" t="s">
        <v>139</v>
      </c>
      <c r="C5" s="102">
        <v>57.761953670189293</v>
      </c>
      <c r="D5" s="34">
        <v>1</v>
      </c>
      <c r="F5" s="276">
        <v>25.53</v>
      </c>
      <c r="G5" s="34">
        <v>2</v>
      </c>
      <c r="I5" s="276">
        <v>32.229999999999997</v>
      </c>
      <c r="J5" s="34">
        <v>1</v>
      </c>
      <c r="L5" s="162">
        <v>920</v>
      </c>
      <c r="M5" s="34">
        <v>12</v>
      </c>
      <c r="O5" s="162">
        <v>28200</v>
      </c>
      <c r="P5" s="34">
        <v>25</v>
      </c>
      <c r="R5" s="33">
        <v>33.200000000000003</v>
      </c>
      <c r="S5" s="34">
        <v>20</v>
      </c>
      <c r="V5" s="335"/>
      <c r="W5" s="103"/>
      <c r="X5" s="103"/>
    </row>
    <row r="6" spans="1:26">
      <c r="B6" t="s">
        <v>140</v>
      </c>
      <c r="C6" s="102">
        <v>55.861914516863244</v>
      </c>
      <c r="D6" s="34">
        <v>2</v>
      </c>
      <c r="F6" s="276">
        <v>24.86</v>
      </c>
      <c r="G6" s="34">
        <v>4</v>
      </c>
      <c r="I6" s="276">
        <v>31</v>
      </c>
      <c r="J6" s="34">
        <v>3</v>
      </c>
      <c r="L6" s="162">
        <v>1140</v>
      </c>
      <c r="M6" s="34">
        <v>3</v>
      </c>
      <c r="O6" s="162">
        <v>36000</v>
      </c>
      <c r="P6" s="34">
        <v>5</v>
      </c>
      <c r="R6" s="33">
        <v>44.98</v>
      </c>
      <c r="S6" s="34">
        <v>3</v>
      </c>
      <c r="V6" s="104"/>
      <c r="W6" s="105"/>
      <c r="X6" s="105"/>
      <c r="Y6" s="82"/>
      <c r="Z6" s="84"/>
    </row>
    <row r="7" spans="1:26">
      <c r="B7" t="s">
        <v>141</v>
      </c>
      <c r="C7" s="102">
        <v>55.465888219661593</v>
      </c>
      <c r="D7" s="34">
        <v>3</v>
      </c>
      <c r="F7" s="276">
        <v>27.21</v>
      </c>
      <c r="G7" s="34">
        <v>1</v>
      </c>
      <c r="I7" s="276">
        <v>28.26</v>
      </c>
      <c r="J7" s="34">
        <v>14</v>
      </c>
      <c r="L7" s="162">
        <v>1300</v>
      </c>
      <c r="M7" s="34">
        <v>1</v>
      </c>
      <c r="O7" s="162">
        <v>44150</v>
      </c>
      <c r="P7" s="34">
        <v>1</v>
      </c>
      <c r="R7" s="33">
        <v>43.45</v>
      </c>
      <c r="S7" s="34">
        <v>5</v>
      </c>
      <c r="V7" s="104"/>
      <c r="W7" s="105"/>
      <c r="X7" s="105"/>
      <c r="Y7" s="82"/>
      <c r="Z7" s="84"/>
    </row>
    <row r="8" spans="1:26">
      <c r="B8" t="s">
        <v>142</v>
      </c>
      <c r="C8" s="102">
        <v>53.053708378374722</v>
      </c>
      <c r="D8" s="34">
        <v>4</v>
      </c>
      <c r="F8" s="276">
        <v>22.05</v>
      </c>
      <c r="G8" s="34">
        <v>31</v>
      </c>
      <c r="I8" s="276">
        <v>31</v>
      </c>
      <c r="J8" s="34">
        <v>4</v>
      </c>
      <c r="L8" s="162">
        <v>1000</v>
      </c>
      <c r="M8" s="34">
        <v>7</v>
      </c>
      <c r="O8" s="162">
        <v>32180</v>
      </c>
      <c r="P8" s="34">
        <v>12</v>
      </c>
      <c r="R8" s="33">
        <v>46.27</v>
      </c>
      <c r="S8" s="34">
        <v>2</v>
      </c>
      <c r="V8" s="104"/>
      <c r="W8" s="105"/>
      <c r="X8" s="105"/>
      <c r="Y8" s="82"/>
      <c r="Z8" s="84"/>
    </row>
    <row r="9" spans="1:26">
      <c r="B9" t="s">
        <v>143</v>
      </c>
      <c r="C9" s="102">
        <v>52.905533335879653</v>
      </c>
      <c r="D9" s="34">
        <v>5</v>
      </c>
      <c r="F9" s="276">
        <v>23.13</v>
      </c>
      <c r="G9" s="34">
        <v>14</v>
      </c>
      <c r="I9" s="276">
        <v>29.77</v>
      </c>
      <c r="J9" s="34">
        <v>6</v>
      </c>
      <c r="L9" s="162">
        <v>1100</v>
      </c>
      <c r="M9" s="34">
        <v>5</v>
      </c>
      <c r="O9" s="162">
        <v>35890</v>
      </c>
      <c r="P9" s="34">
        <v>6</v>
      </c>
      <c r="R9" s="33">
        <v>34.71</v>
      </c>
      <c r="S9" s="34">
        <v>15</v>
      </c>
      <c r="V9" s="104"/>
      <c r="W9" s="105"/>
      <c r="X9" s="105"/>
      <c r="Y9" s="82"/>
      <c r="Z9" s="84"/>
    </row>
    <row r="10" spans="1:26">
      <c r="B10" t="s">
        <v>144</v>
      </c>
      <c r="C10" s="102">
        <v>52.62646727588497</v>
      </c>
      <c r="D10" s="34">
        <v>6</v>
      </c>
      <c r="F10" s="276">
        <v>20.74</v>
      </c>
      <c r="G10" s="34">
        <v>44</v>
      </c>
      <c r="I10" s="276">
        <v>31.89</v>
      </c>
      <c r="J10" s="34">
        <v>2</v>
      </c>
      <c r="L10" s="162">
        <v>720</v>
      </c>
      <c r="M10" s="34">
        <v>28</v>
      </c>
      <c r="O10" s="162">
        <v>23000</v>
      </c>
      <c r="P10" s="34">
        <v>42</v>
      </c>
      <c r="R10" s="33">
        <v>28.22</v>
      </c>
      <c r="S10" s="34">
        <v>47</v>
      </c>
      <c r="V10" s="104"/>
      <c r="W10" s="105"/>
      <c r="X10" s="105"/>
      <c r="Y10" s="82"/>
      <c r="Z10" s="84"/>
    </row>
    <row r="11" spans="1:26">
      <c r="B11" t="s">
        <v>145</v>
      </c>
      <c r="C11" s="102">
        <v>52.611876807895186</v>
      </c>
      <c r="D11" s="34">
        <v>7</v>
      </c>
      <c r="F11" s="276">
        <v>23.87</v>
      </c>
      <c r="G11" s="34">
        <v>11</v>
      </c>
      <c r="I11" s="276">
        <v>28.74</v>
      </c>
      <c r="J11" s="34">
        <v>11</v>
      </c>
      <c r="L11" s="162">
        <v>942</v>
      </c>
      <c r="M11" s="34">
        <v>11</v>
      </c>
      <c r="O11" s="162">
        <v>32000</v>
      </c>
      <c r="P11" s="34">
        <v>14</v>
      </c>
      <c r="R11" s="33">
        <v>28.22</v>
      </c>
      <c r="S11" s="34">
        <v>46</v>
      </c>
      <c r="V11" s="104"/>
      <c r="W11" s="105"/>
      <c r="X11" s="105"/>
      <c r="Y11" s="82"/>
      <c r="Z11" s="84"/>
    </row>
    <row r="12" spans="1:26">
      <c r="B12" t="s">
        <v>146</v>
      </c>
      <c r="C12" s="102">
        <v>52.604069410448574</v>
      </c>
      <c r="D12" s="34">
        <v>8</v>
      </c>
      <c r="F12" s="276">
        <v>23.42</v>
      </c>
      <c r="G12" s="34">
        <v>12</v>
      </c>
      <c r="I12" s="276">
        <v>29.18</v>
      </c>
      <c r="J12" s="34">
        <v>9</v>
      </c>
      <c r="L12" s="162">
        <v>820</v>
      </c>
      <c r="M12" s="34">
        <v>20</v>
      </c>
      <c r="O12" s="162">
        <v>29385</v>
      </c>
      <c r="P12" s="34">
        <v>22</v>
      </c>
      <c r="R12" s="33">
        <v>39.19</v>
      </c>
      <c r="S12" s="34">
        <v>7</v>
      </c>
      <c r="V12" s="104"/>
      <c r="W12" s="105"/>
      <c r="X12" s="105"/>
      <c r="Y12" s="82"/>
      <c r="Z12" s="84"/>
    </row>
    <row r="13" spans="1:26">
      <c r="B13" t="s">
        <v>147</v>
      </c>
      <c r="C13" s="102">
        <v>52.039146966013142</v>
      </c>
      <c r="D13" s="34">
        <v>9</v>
      </c>
      <c r="F13" s="276">
        <v>22.04</v>
      </c>
      <c r="G13" s="34">
        <v>33</v>
      </c>
      <c r="I13" s="276">
        <v>30</v>
      </c>
      <c r="J13" s="34">
        <v>5</v>
      </c>
      <c r="L13" s="162">
        <v>781.5</v>
      </c>
      <c r="M13" s="34">
        <v>24</v>
      </c>
      <c r="O13" s="162">
        <v>24000</v>
      </c>
      <c r="P13" s="34">
        <v>38</v>
      </c>
      <c r="R13" s="33">
        <v>35.4</v>
      </c>
      <c r="S13" s="34">
        <v>14</v>
      </c>
      <c r="V13" s="104"/>
      <c r="W13" s="105"/>
      <c r="X13" s="105"/>
      <c r="Y13" s="82"/>
      <c r="Z13" s="84"/>
    </row>
    <row r="14" spans="1:26">
      <c r="B14" t="s">
        <v>148</v>
      </c>
      <c r="C14" s="102">
        <v>51.835385729808038</v>
      </c>
      <c r="D14" s="34">
        <v>10</v>
      </c>
      <c r="F14" s="276">
        <v>22.6</v>
      </c>
      <c r="G14" s="34">
        <v>27</v>
      </c>
      <c r="I14" s="276">
        <v>29.24</v>
      </c>
      <c r="J14" s="34">
        <v>8</v>
      </c>
      <c r="L14" s="162">
        <v>990</v>
      </c>
      <c r="M14" s="34">
        <v>8</v>
      </c>
      <c r="O14" s="162">
        <v>31500</v>
      </c>
      <c r="P14" s="34">
        <v>17</v>
      </c>
      <c r="R14" s="33">
        <v>32.68</v>
      </c>
      <c r="S14" s="34">
        <v>23</v>
      </c>
      <c r="V14" s="104"/>
      <c r="W14" s="105"/>
      <c r="X14" s="105"/>
      <c r="Y14" s="82"/>
      <c r="Z14" s="84"/>
    </row>
    <row r="15" spans="1:26">
      <c r="C15" s="102"/>
      <c r="F15" s="276"/>
      <c r="I15" s="276"/>
      <c r="L15" s="162"/>
      <c r="O15" s="162"/>
      <c r="R15" s="33"/>
      <c r="V15" s="104"/>
      <c r="W15" s="105"/>
      <c r="X15" s="105"/>
      <c r="Y15" s="82"/>
      <c r="Z15" s="84"/>
    </row>
    <row r="16" spans="1:26">
      <c r="B16" t="s">
        <v>149</v>
      </c>
      <c r="C16" s="102">
        <v>51.789055846690516</v>
      </c>
      <c r="D16" s="34">
        <v>11</v>
      </c>
      <c r="F16" s="276">
        <v>25.17</v>
      </c>
      <c r="G16" s="34">
        <v>3</v>
      </c>
      <c r="I16" s="276">
        <v>26.62</v>
      </c>
      <c r="J16" s="34">
        <v>24</v>
      </c>
      <c r="L16" s="162">
        <v>1100</v>
      </c>
      <c r="M16" s="34">
        <v>4</v>
      </c>
      <c r="O16" s="162">
        <v>39000</v>
      </c>
      <c r="P16" s="34">
        <v>4</v>
      </c>
      <c r="R16" s="33">
        <v>32.619999999999997</v>
      </c>
      <c r="S16" s="34">
        <v>24</v>
      </c>
      <c r="V16" s="104"/>
      <c r="W16" s="105"/>
      <c r="X16" s="105"/>
      <c r="Y16" s="82"/>
      <c r="Z16" s="84"/>
    </row>
    <row r="17" spans="2:26">
      <c r="B17" t="s">
        <v>150</v>
      </c>
      <c r="C17" s="102">
        <v>51.485986533206315</v>
      </c>
      <c r="D17" s="34">
        <v>12</v>
      </c>
      <c r="F17" s="276">
        <v>22.61</v>
      </c>
      <c r="G17" s="34">
        <v>26</v>
      </c>
      <c r="I17" s="276">
        <v>28.87</v>
      </c>
      <c r="J17" s="34">
        <v>10</v>
      </c>
      <c r="L17" s="162">
        <v>804</v>
      </c>
      <c r="M17" s="34">
        <v>21</v>
      </c>
      <c r="O17" s="162">
        <v>27800</v>
      </c>
      <c r="P17" s="34">
        <v>26</v>
      </c>
      <c r="R17" s="33">
        <v>32.4</v>
      </c>
      <c r="S17" s="34">
        <v>28</v>
      </c>
      <c r="V17" s="104"/>
      <c r="W17" s="105"/>
      <c r="X17" s="105"/>
      <c r="Y17" s="82"/>
      <c r="Z17" s="84"/>
    </row>
    <row r="18" spans="2:26">
      <c r="B18" t="s">
        <v>151</v>
      </c>
      <c r="C18" s="102">
        <v>51.38673764200864</v>
      </c>
      <c r="D18" s="34">
        <v>13</v>
      </c>
      <c r="F18" s="276">
        <v>22.99</v>
      </c>
      <c r="G18" s="34">
        <v>17</v>
      </c>
      <c r="I18" s="276">
        <v>28.4</v>
      </c>
      <c r="J18" s="34">
        <v>12</v>
      </c>
      <c r="L18" s="162">
        <v>1180</v>
      </c>
      <c r="M18" s="34">
        <v>2</v>
      </c>
      <c r="O18" s="162">
        <v>41955</v>
      </c>
      <c r="P18" s="34">
        <v>2</v>
      </c>
      <c r="R18" s="33">
        <v>58.87</v>
      </c>
      <c r="S18" s="34">
        <v>1</v>
      </c>
      <c r="V18" s="104"/>
      <c r="W18" s="105"/>
      <c r="X18" s="105"/>
      <c r="Y18" s="82"/>
      <c r="Z18" s="84"/>
    </row>
    <row r="19" spans="2:26">
      <c r="B19" t="s">
        <v>152</v>
      </c>
      <c r="C19" s="102">
        <v>51.20383585667777</v>
      </c>
      <c r="D19" s="34">
        <v>14</v>
      </c>
      <c r="F19" s="276">
        <v>24.32</v>
      </c>
      <c r="G19" s="34">
        <v>6</v>
      </c>
      <c r="I19" s="276">
        <v>26.89</v>
      </c>
      <c r="J19" s="34">
        <v>20</v>
      </c>
      <c r="L19" s="162">
        <v>900</v>
      </c>
      <c r="M19" s="34">
        <v>15</v>
      </c>
      <c r="O19" s="162">
        <v>32000</v>
      </c>
      <c r="P19" s="34">
        <v>15</v>
      </c>
      <c r="R19" s="33">
        <v>43.65</v>
      </c>
      <c r="S19" s="34">
        <v>4</v>
      </c>
      <c r="V19" s="104"/>
      <c r="W19" s="105"/>
      <c r="X19" s="105"/>
      <c r="Y19" s="82"/>
      <c r="Z19" s="84"/>
    </row>
    <row r="20" spans="2:26">
      <c r="B20" t="s">
        <v>153</v>
      </c>
      <c r="C20" s="102">
        <v>51.005798081602016</v>
      </c>
      <c r="D20" s="34">
        <v>15</v>
      </c>
      <c r="F20" s="276">
        <v>22.71</v>
      </c>
      <c r="G20" s="34">
        <v>23</v>
      </c>
      <c r="I20" s="276">
        <v>28.3</v>
      </c>
      <c r="J20" s="34">
        <v>13</v>
      </c>
      <c r="L20" s="162">
        <v>710</v>
      </c>
      <c r="M20" s="34">
        <v>30</v>
      </c>
      <c r="O20" s="162">
        <v>25000</v>
      </c>
      <c r="P20" s="34">
        <v>34</v>
      </c>
      <c r="R20" s="33">
        <v>31.6</v>
      </c>
      <c r="S20" s="34">
        <v>35</v>
      </c>
      <c r="V20" s="104"/>
      <c r="W20" s="105"/>
      <c r="X20" s="105"/>
      <c r="Y20" s="82"/>
      <c r="Z20" s="84"/>
    </row>
    <row r="21" spans="2:26">
      <c r="B21" t="s">
        <v>154</v>
      </c>
      <c r="C21" s="102">
        <v>50.295500975594265</v>
      </c>
      <c r="D21" s="34">
        <v>16</v>
      </c>
      <c r="F21" s="276">
        <v>22.81</v>
      </c>
      <c r="G21" s="34">
        <v>21</v>
      </c>
      <c r="I21" s="276">
        <v>27.49</v>
      </c>
      <c r="J21" s="34">
        <v>17</v>
      </c>
      <c r="L21" s="162">
        <v>820</v>
      </c>
      <c r="M21" s="34">
        <v>19</v>
      </c>
      <c r="O21" s="162">
        <v>29850</v>
      </c>
      <c r="P21" s="34">
        <v>20</v>
      </c>
      <c r="R21" s="33">
        <v>36.090000000000003</v>
      </c>
      <c r="S21" s="34">
        <v>12</v>
      </c>
      <c r="V21" s="104"/>
      <c r="W21" s="105"/>
      <c r="X21" s="105"/>
      <c r="Y21" s="82"/>
      <c r="Z21" s="84"/>
    </row>
    <row r="22" spans="2:26">
      <c r="B22" t="s">
        <v>155</v>
      </c>
      <c r="C22" s="102">
        <v>50.28439928791628</v>
      </c>
      <c r="D22" s="34">
        <v>17</v>
      </c>
      <c r="F22" s="276">
        <v>23.95</v>
      </c>
      <c r="G22" s="34">
        <v>10</v>
      </c>
      <c r="I22" s="276">
        <v>26.34</v>
      </c>
      <c r="J22" s="34">
        <v>28</v>
      </c>
      <c r="L22" s="162">
        <v>700</v>
      </c>
      <c r="M22" s="34">
        <v>32</v>
      </c>
      <c r="O22" s="162">
        <v>22930</v>
      </c>
      <c r="P22" s="34">
        <v>43</v>
      </c>
      <c r="R22" s="33">
        <v>29.2</v>
      </c>
      <c r="S22" s="34">
        <v>44</v>
      </c>
      <c r="V22" s="104"/>
      <c r="W22" s="105"/>
      <c r="X22" s="105"/>
      <c r="Y22" s="82"/>
      <c r="Z22" s="84"/>
    </row>
    <row r="23" spans="2:26">
      <c r="B23" t="s">
        <v>156</v>
      </c>
      <c r="C23" s="102">
        <v>50.234802980394925</v>
      </c>
      <c r="D23" s="34">
        <v>18</v>
      </c>
      <c r="F23" s="276">
        <v>20.85</v>
      </c>
      <c r="G23" s="34">
        <v>41</v>
      </c>
      <c r="I23" s="276">
        <v>29.38</v>
      </c>
      <c r="J23" s="34">
        <v>7</v>
      </c>
      <c r="L23" s="162">
        <v>723</v>
      </c>
      <c r="M23" s="34">
        <v>27</v>
      </c>
      <c r="O23" s="162">
        <v>21900</v>
      </c>
      <c r="P23" s="34">
        <v>46</v>
      </c>
      <c r="R23" s="33">
        <v>33.35</v>
      </c>
      <c r="S23" s="34">
        <v>18</v>
      </c>
      <c r="V23" s="104"/>
      <c r="W23" s="105"/>
      <c r="X23" s="105"/>
      <c r="Y23" s="82"/>
      <c r="Z23" s="84"/>
    </row>
    <row r="24" spans="2:26">
      <c r="B24" t="s">
        <v>157</v>
      </c>
      <c r="C24" s="102">
        <v>50.144318299560389</v>
      </c>
      <c r="D24" s="34">
        <v>19</v>
      </c>
      <c r="F24" s="276">
        <v>24.49</v>
      </c>
      <c r="G24" s="34">
        <v>5</v>
      </c>
      <c r="I24" s="276">
        <v>25.65</v>
      </c>
      <c r="J24" s="34">
        <v>33</v>
      </c>
      <c r="L24" s="162">
        <v>784.5</v>
      </c>
      <c r="M24" s="34">
        <v>22</v>
      </c>
      <c r="O24" s="162">
        <v>30200</v>
      </c>
      <c r="P24" s="34">
        <v>18</v>
      </c>
      <c r="R24" s="33">
        <v>30.56</v>
      </c>
      <c r="S24" s="34">
        <v>38</v>
      </c>
      <c r="V24" s="104"/>
      <c r="W24" s="105"/>
      <c r="X24" s="105"/>
      <c r="Y24" s="82"/>
      <c r="Z24" s="84"/>
    </row>
    <row r="25" spans="2:26">
      <c r="B25" t="s">
        <v>158</v>
      </c>
      <c r="C25" s="102">
        <v>50.090631245193251</v>
      </c>
      <c r="D25" s="34">
        <v>20</v>
      </c>
      <c r="F25" s="276">
        <v>24.2</v>
      </c>
      <c r="G25" s="34">
        <v>7</v>
      </c>
      <c r="I25" s="276">
        <v>25.9</v>
      </c>
      <c r="J25" s="34">
        <v>30</v>
      </c>
      <c r="L25" s="162">
        <v>875</v>
      </c>
      <c r="M25" s="34">
        <v>16</v>
      </c>
      <c r="O25" s="162">
        <v>32000</v>
      </c>
      <c r="P25" s="34">
        <v>13</v>
      </c>
      <c r="R25" s="33">
        <v>35.409999999999997</v>
      </c>
      <c r="S25" s="34">
        <v>13</v>
      </c>
      <c r="V25" s="104"/>
      <c r="W25" s="105"/>
      <c r="X25" s="105"/>
      <c r="Y25" s="82"/>
      <c r="Z25" s="84"/>
    </row>
    <row r="26" spans="2:26">
      <c r="C26" s="102"/>
      <c r="F26" s="276"/>
      <c r="I26" s="276"/>
      <c r="L26" s="162"/>
      <c r="O26" s="162"/>
      <c r="R26" s="33"/>
      <c r="V26" s="104"/>
      <c r="W26" s="105"/>
      <c r="X26" s="105"/>
      <c r="Y26" s="82"/>
      <c r="Z26" s="84"/>
    </row>
    <row r="27" spans="2:26">
      <c r="B27" t="s">
        <v>159</v>
      </c>
      <c r="C27" s="102">
        <v>49.688059319867037</v>
      </c>
      <c r="D27" s="34">
        <v>21</v>
      </c>
      <c r="F27" s="276">
        <v>22.13</v>
      </c>
      <c r="G27" s="34">
        <v>30</v>
      </c>
      <c r="I27" s="276">
        <v>27.56</v>
      </c>
      <c r="J27" s="34">
        <v>16</v>
      </c>
      <c r="L27" s="162">
        <v>683</v>
      </c>
      <c r="M27" s="34">
        <v>35</v>
      </c>
      <c r="O27" s="162">
        <v>24000</v>
      </c>
      <c r="P27" s="34">
        <v>39</v>
      </c>
      <c r="R27" s="33">
        <v>30.12</v>
      </c>
      <c r="S27" s="34">
        <v>42</v>
      </c>
      <c r="V27" s="104"/>
      <c r="W27" s="105"/>
      <c r="X27" s="105"/>
      <c r="Y27" s="82"/>
      <c r="Z27" s="84"/>
    </row>
    <row r="28" spans="2:26">
      <c r="B28" t="s">
        <v>160</v>
      </c>
      <c r="C28" s="102">
        <v>49.444579721437613</v>
      </c>
      <c r="D28" s="34">
        <v>22</v>
      </c>
      <c r="F28" s="276">
        <v>22.95</v>
      </c>
      <c r="G28" s="34">
        <v>19</v>
      </c>
      <c r="I28" s="276">
        <v>26.49</v>
      </c>
      <c r="J28" s="34">
        <v>26</v>
      </c>
      <c r="L28" s="162">
        <v>718</v>
      </c>
      <c r="M28" s="34">
        <v>29</v>
      </c>
      <c r="O28" s="162">
        <v>24100</v>
      </c>
      <c r="P28" s="34">
        <v>37</v>
      </c>
      <c r="R28" s="33">
        <v>33.450000000000003</v>
      </c>
      <c r="S28" s="34">
        <v>17</v>
      </c>
      <c r="V28" s="104"/>
      <c r="W28" s="105"/>
      <c r="X28" s="105"/>
      <c r="Y28" s="82"/>
      <c r="Z28" s="84"/>
    </row>
    <row r="29" spans="2:26">
      <c r="B29" t="s">
        <v>161</v>
      </c>
      <c r="C29" s="102">
        <v>48.974943052391801</v>
      </c>
      <c r="D29" s="34">
        <v>23</v>
      </c>
      <c r="F29" s="276">
        <v>21.07</v>
      </c>
      <c r="G29" s="34">
        <v>40</v>
      </c>
      <c r="I29" s="276">
        <v>27.91</v>
      </c>
      <c r="J29" s="34">
        <v>15</v>
      </c>
      <c r="L29" s="162">
        <v>670</v>
      </c>
      <c r="M29" s="34">
        <v>38</v>
      </c>
      <c r="O29" s="162">
        <v>23100</v>
      </c>
      <c r="P29" s="34">
        <v>41</v>
      </c>
      <c r="R29" s="33">
        <v>32.96</v>
      </c>
      <c r="S29" s="34">
        <v>21</v>
      </c>
      <c r="V29" s="104"/>
      <c r="W29" s="105"/>
      <c r="X29" s="105"/>
      <c r="Y29" s="82"/>
      <c r="Z29" s="84"/>
    </row>
    <row r="30" spans="2:26">
      <c r="B30" t="s">
        <v>162</v>
      </c>
      <c r="C30" s="102">
        <v>48.943907028468118</v>
      </c>
      <c r="D30" s="34">
        <v>24</v>
      </c>
      <c r="F30" s="276">
        <v>22.05</v>
      </c>
      <c r="G30" s="34">
        <v>32</v>
      </c>
      <c r="I30" s="276">
        <v>26.89</v>
      </c>
      <c r="J30" s="34">
        <v>21</v>
      </c>
      <c r="L30" s="162">
        <v>710</v>
      </c>
      <c r="M30" s="34">
        <v>31</v>
      </c>
      <c r="O30" s="162">
        <v>22850</v>
      </c>
      <c r="P30" s="34">
        <v>44</v>
      </c>
      <c r="R30" s="33">
        <v>30.71</v>
      </c>
      <c r="S30" s="34">
        <v>37</v>
      </c>
      <c r="V30" s="104"/>
      <c r="W30" s="105"/>
      <c r="X30" s="105"/>
      <c r="Y30" s="82"/>
      <c r="Z30" s="84"/>
    </row>
    <row r="31" spans="2:26">
      <c r="B31" t="s">
        <v>163</v>
      </c>
      <c r="C31" s="102">
        <v>48.918350852195793</v>
      </c>
      <c r="D31" s="34">
        <v>25</v>
      </c>
      <c r="F31" s="276">
        <v>22.32</v>
      </c>
      <c r="G31" s="34">
        <v>29</v>
      </c>
      <c r="I31" s="276">
        <v>26.6</v>
      </c>
      <c r="J31" s="34">
        <v>25</v>
      </c>
      <c r="L31" s="162">
        <v>1000</v>
      </c>
      <c r="M31" s="34">
        <v>6</v>
      </c>
      <c r="O31" s="162">
        <v>32600</v>
      </c>
      <c r="P31" s="34">
        <v>10</v>
      </c>
      <c r="R31" s="33">
        <v>37.92</v>
      </c>
      <c r="S31" s="34">
        <v>8</v>
      </c>
      <c r="V31" s="104"/>
      <c r="W31" s="105"/>
      <c r="X31" s="105"/>
      <c r="Y31" s="82"/>
      <c r="Z31" s="84"/>
    </row>
    <row r="32" spans="2:26">
      <c r="B32" t="s">
        <v>164</v>
      </c>
      <c r="C32" s="102">
        <v>48.687501084098493</v>
      </c>
      <c r="D32" s="34">
        <v>26</v>
      </c>
      <c r="F32" s="276">
        <v>24.11</v>
      </c>
      <c r="G32" s="34">
        <v>9</v>
      </c>
      <c r="I32" s="276">
        <v>24.58</v>
      </c>
      <c r="J32" s="34">
        <v>37</v>
      </c>
      <c r="L32" s="162">
        <v>904</v>
      </c>
      <c r="M32" s="34">
        <v>14</v>
      </c>
      <c r="O32" s="162">
        <v>34500</v>
      </c>
      <c r="P32" s="34">
        <v>8</v>
      </c>
      <c r="R32" s="33">
        <v>37.229999999999997</v>
      </c>
      <c r="S32" s="34">
        <v>9</v>
      </c>
      <c r="V32" s="104"/>
      <c r="W32" s="105"/>
      <c r="X32" s="105"/>
      <c r="Y32" s="82"/>
      <c r="Z32" s="84"/>
    </row>
    <row r="33" spans="2:26">
      <c r="B33" t="s">
        <v>165</v>
      </c>
      <c r="C33" s="102">
        <v>48.559212604704371</v>
      </c>
      <c r="D33" s="34">
        <v>27</v>
      </c>
      <c r="F33" s="276">
        <v>21.08</v>
      </c>
      <c r="G33" s="34">
        <v>38</v>
      </c>
      <c r="I33" s="276">
        <v>27.48</v>
      </c>
      <c r="J33" s="34">
        <v>18</v>
      </c>
      <c r="L33" s="162">
        <v>640</v>
      </c>
      <c r="M33" s="34">
        <v>44</v>
      </c>
      <c r="O33" s="162">
        <v>19400</v>
      </c>
      <c r="P33" s="34">
        <v>50</v>
      </c>
      <c r="R33" s="33">
        <v>30.16</v>
      </c>
      <c r="S33" s="34">
        <v>41</v>
      </c>
      <c r="V33" s="104"/>
      <c r="W33" s="105"/>
      <c r="X33" s="105"/>
      <c r="Y33" s="82"/>
      <c r="Z33" s="84"/>
    </row>
    <row r="34" spans="2:26">
      <c r="B34" t="s">
        <v>166</v>
      </c>
      <c r="C34" s="102">
        <v>48.532788039452171</v>
      </c>
      <c r="D34" s="34">
        <v>28</v>
      </c>
      <c r="F34" s="276">
        <v>22.52</v>
      </c>
      <c r="G34" s="34">
        <v>28</v>
      </c>
      <c r="I34" s="276">
        <v>26.01</v>
      </c>
      <c r="J34" s="34">
        <v>29</v>
      </c>
      <c r="L34" s="162">
        <v>850</v>
      </c>
      <c r="M34" s="34">
        <v>17</v>
      </c>
      <c r="O34" s="162">
        <v>29000</v>
      </c>
      <c r="P34" s="34">
        <v>24</v>
      </c>
      <c r="R34" s="33">
        <v>39.619999999999997</v>
      </c>
      <c r="S34" s="34">
        <v>6</v>
      </c>
      <c r="V34" s="104"/>
      <c r="W34" s="105"/>
      <c r="X34" s="105"/>
      <c r="Y34" s="82"/>
      <c r="Z34" s="84"/>
    </row>
    <row r="35" spans="2:26">
      <c r="B35" t="s">
        <v>167</v>
      </c>
      <c r="C35" s="102">
        <v>48.388261088954053</v>
      </c>
      <c r="D35" s="34">
        <v>29</v>
      </c>
      <c r="F35" s="276">
        <v>22.63</v>
      </c>
      <c r="G35" s="34">
        <v>24</v>
      </c>
      <c r="I35" s="276">
        <v>25.76</v>
      </c>
      <c r="J35" s="34">
        <v>32</v>
      </c>
      <c r="L35" s="162">
        <v>650</v>
      </c>
      <c r="M35" s="34">
        <v>41</v>
      </c>
      <c r="O35" s="162">
        <v>20800</v>
      </c>
      <c r="P35" s="34">
        <v>49</v>
      </c>
      <c r="R35" s="33">
        <v>30.19</v>
      </c>
      <c r="S35" s="34">
        <v>40</v>
      </c>
      <c r="V35" s="104"/>
      <c r="W35" s="105"/>
      <c r="X35" s="105"/>
      <c r="Y35" s="82"/>
      <c r="Z35" s="84"/>
    </row>
    <row r="36" spans="2:26">
      <c r="B36" t="s">
        <v>168</v>
      </c>
      <c r="C36" s="102">
        <v>48.336799241270697</v>
      </c>
      <c r="D36" s="34">
        <v>30</v>
      </c>
      <c r="F36" s="276">
        <v>21.63</v>
      </c>
      <c r="G36" s="34">
        <v>34</v>
      </c>
      <c r="I36" s="276">
        <v>26.7</v>
      </c>
      <c r="J36" s="34">
        <v>23</v>
      </c>
      <c r="L36" s="162">
        <v>682</v>
      </c>
      <c r="M36" s="34">
        <v>36</v>
      </c>
      <c r="O36" s="162">
        <v>22000</v>
      </c>
      <c r="P36" s="34">
        <v>45</v>
      </c>
      <c r="R36" s="33">
        <v>32.6</v>
      </c>
      <c r="S36" s="34">
        <v>25</v>
      </c>
      <c r="V36" s="104"/>
      <c r="W36" s="105"/>
      <c r="X36" s="105"/>
      <c r="Y36" s="82"/>
      <c r="Z36" s="84"/>
    </row>
    <row r="37" spans="2:26">
      <c r="C37" s="102"/>
      <c r="F37" s="276"/>
      <c r="I37" s="276"/>
      <c r="L37" s="162"/>
      <c r="O37" s="162"/>
      <c r="R37" s="33"/>
      <c r="V37" s="104"/>
      <c r="W37" s="105"/>
      <c r="X37" s="105"/>
      <c r="Y37" s="82"/>
      <c r="Z37" s="84"/>
    </row>
    <row r="38" spans="2:26">
      <c r="B38" t="s">
        <v>169</v>
      </c>
      <c r="C38" s="102">
        <v>48.188536337360588</v>
      </c>
      <c r="D38" s="34">
        <v>31</v>
      </c>
      <c r="F38" s="276">
        <v>21.08</v>
      </c>
      <c r="G38" s="34">
        <v>39</v>
      </c>
      <c r="I38" s="276">
        <v>27.11</v>
      </c>
      <c r="J38" s="34">
        <v>19</v>
      </c>
      <c r="L38" s="162">
        <v>740</v>
      </c>
      <c r="M38" s="34">
        <v>26</v>
      </c>
      <c r="O38" s="162">
        <v>26900</v>
      </c>
      <c r="P38" s="34">
        <v>31</v>
      </c>
      <c r="R38" s="33">
        <v>30.36</v>
      </c>
      <c r="S38" s="34">
        <v>39</v>
      </c>
      <c r="V38" s="104"/>
      <c r="W38" s="105"/>
      <c r="X38" s="105"/>
      <c r="Y38" s="82"/>
      <c r="Z38" s="84"/>
    </row>
    <row r="39" spans="2:26">
      <c r="B39" t="s">
        <v>170</v>
      </c>
      <c r="C39" s="102">
        <v>47.811262765855275</v>
      </c>
      <c r="D39" s="34">
        <v>32</v>
      </c>
      <c r="F39" s="276">
        <v>22.73</v>
      </c>
      <c r="G39" s="34">
        <v>22</v>
      </c>
      <c r="I39" s="276">
        <v>25.08</v>
      </c>
      <c r="J39" s="34">
        <v>35</v>
      </c>
      <c r="L39" s="162">
        <v>740</v>
      </c>
      <c r="M39" s="34">
        <v>25</v>
      </c>
      <c r="O39" s="162">
        <v>27300</v>
      </c>
      <c r="P39" s="34">
        <v>29</v>
      </c>
      <c r="R39" s="33">
        <v>26.82</v>
      </c>
      <c r="S39" s="34">
        <v>51</v>
      </c>
      <c r="V39" s="104"/>
      <c r="W39" s="105"/>
      <c r="X39" s="105"/>
      <c r="Y39" s="82"/>
      <c r="Z39" s="84"/>
    </row>
    <row r="40" spans="2:26">
      <c r="B40" t="s">
        <v>171</v>
      </c>
      <c r="C40" s="102">
        <v>47.509103396308547</v>
      </c>
      <c r="D40" s="34">
        <v>33</v>
      </c>
      <c r="F40" s="276">
        <v>23.09</v>
      </c>
      <c r="G40" s="34">
        <v>15</v>
      </c>
      <c r="I40" s="276">
        <v>24.41</v>
      </c>
      <c r="J40" s="34">
        <v>39</v>
      </c>
      <c r="L40" s="162">
        <v>983</v>
      </c>
      <c r="M40" s="34">
        <v>9</v>
      </c>
      <c r="O40" s="162">
        <v>35000</v>
      </c>
      <c r="P40" s="34">
        <v>7</v>
      </c>
      <c r="R40" s="33">
        <v>32.57</v>
      </c>
      <c r="S40" s="34">
        <v>26</v>
      </c>
      <c r="V40" s="104"/>
      <c r="W40" s="105"/>
      <c r="X40" s="105"/>
      <c r="Y40" s="82"/>
      <c r="Z40" s="84"/>
    </row>
    <row r="41" spans="2:26">
      <c r="B41" t="s">
        <v>172</v>
      </c>
      <c r="C41" s="102">
        <v>47.230300796023975</v>
      </c>
      <c r="D41" s="34">
        <v>34</v>
      </c>
      <c r="F41" s="276">
        <v>24.19</v>
      </c>
      <c r="G41" s="34">
        <v>8</v>
      </c>
      <c r="I41" s="276">
        <v>23.04</v>
      </c>
      <c r="J41" s="34">
        <v>42</v>
      </c>
      <c r="L41" s="162">
        <v>920</v>
      </c>
      <c r="M41" s="34">
        <v>13</v>
      </c>
      <c r="O41" s="162">
        <v>33000</v>
      </c>
      <c r="P41" s="34">
        <v>9</v>
      </c>
      <c r="R41" s="33">
        <v>28.36</v>
      </c>
      <c r="S41" s="34">
        <v>45</v>
      </c>
      <c r="V41" s="104"/>
      <c r="W41" s="105"/>
      <c r="X41" s="105"/>
      <c r="Y41" s="82"/>
      <c r="Z41" s="84"/>
    </row>
    <row r="42" spans="2:26">
      <c r="B42" t="s">
        <v>173</v>
      </c>
      <c r="C42" s="102">
        <v>47.226161157062528</v>
      </c>
      <c r="D42" s="34">
        <v>35</v>
      </c>
      <c r="F42" s="276">
        <v>22.99</v>
      </c>
      <c r="G42" s="34">
        <v>18</v>
      </c>
      <c r="I42" s="276">
        <v>24.24</v>
      </c>
      <c r="J42" s="34">
        <v>40</v>
      </c>
      <c r="L42" s="162">
        <v>783</v>
      </c>
      <c r="M42" s="34">
        <v>23</v>
      </c>
      <c r="O42" s="162">
        <v>29095</v>
      </c>
      <c r="P42" s="34">
        <v>23</v>
      </c>
      <c r="R42" s="33">
        <v>37.119999999999997</v>
      </c>
      <c r="S42" s="34">
        <v>10</v>
      </c>
      <c r="V42" s="104"/>
      <c r="W42" s="105"/>
      <c r="X42" s="105"/>
      <c r="Y42" s="82"/>
      <c r="Z42" s="84"/>
    </row>
    <row r="43" spans="2:26">
      <c r="B43" t="s">
        <v>174</v>
      </c>
      <c r="C43" s="102">
        <v>47.212298565961788</v>
      </c>
      <c r="D43" s="34">
        <v>36</v>
      </c>
      <c r="F43" s="276">
        <v>22.63</v>
      </c>
      <c r="G43" s="34">
        <v>25</v>
      </c>
      <c r="I43" s="276">
        <v>24.58</v>
      </c>
      <c r="J43" s="34">
        <v>36</v>
      </c>
      <c r="L43" s="162">
        <v>590.5</v>
      </c>
      <c r="M43" s="34">
        <v>48</v>
      </c>
      <c r="O43" s="162">
        <v>21000</v>
      </c>
      <c r="P43" s="34">
        <v>47</v>
      </c>
      <c r="R43" s="33">
        <v>33.49</v>
      </c>
      <c r="S43" s="34">
        <v>16</v>
      </c>
      <c r="V43" s="104"/>
      <c r="W43" s="105"/>
      <c r="X43" s="105"/>
      <c r="Y43" s="82"/>
      <c r="Z43" s="84"/>
    </row>
    <row r="44" spans="2:26">
      <c r="B44" t="s">
        <v>175</v>
      </c>
      <c r="C44" s="102">
        <v>47.211572594959179</v>
      </c>
      <c r="D44" s="34">
        <v>37</v>
      </c>
      <c r="F44" s="276">
        <v>20.75</v>
      </c>
      <c r="G44" s="34">
        <v>43</v>
      </c>
      <c r="I44" s="276">
        <v>26.46</v>
      </c>
      <c r="J44" s="34">
        <v>27</v>
      </c>
      <c r="L44" s="162">
        <v>700</v>
      </c>
      <c r="M44" s="34">
        <v>33</v>
      </c>
      <c r="O44" s="162">
        <v>27230</v>
      </c>
      <c r="P44" s="34">
        <v>30</v>
      </c>
      <c r="R44" s="33">
        <v>32.19</v>
      </c>
      <c r="S44" s="34">
        <v>29</v>
      </c>
      <c r="V44" s="104"/>
      <c r="W44" s="105"/>
      <c r="X44" s="105"/>
      <c r="Y44" s="82"/>
      <c r="Z44" s="84"/>
    </row>
    <row r="45" spans="2:26">
      <c r="B45" t="s">
        <v>176</v>
      </c>
      <c r="C45" s="102">
        <v>47.144685012737106</v>
      </c>
      <c r="D45" s="34">
        <v>38</v>
      </c>
      <c r="F45" s="276">
        <v>20.3</v>
      </c>
      <c r="G45" s="34">
        <v>45</v>
      </c>
      <c r="I45" s="276">
        <v>26.85</v>
      </c>
      <c r="J45" s="34">
        <v>22</v>
      </c>
      <c r="L45" s="162">
        <v>608</v>
      </c>
      <c r="M45" s="34">
        <v>46</v>
      </c>
      <c r="O45" s="162">
        <v>21000</v>
      </c>
      <c r="P45" s="34">
        <v>48</v>
      </c>
      <c r="R45" s="33">
        <v>30.94</v>
      </c>
      <c r="S45" s="34">
        <v>36</v>
      </c>
      <c r="V45" s="104"/>
      <c r="W45" s="105"/>
      <c r="X45" s="105"/>
      <c r="Y45" s="82"/>
      <c r="Z45" s="84"/>
    </row>
    <row r="46" spans="2:26">
      <c r="B46" t="s">
        <v>177</v>
      </c>
      <c r="C46" s="102">
        <v>46.612061849187413</v>
      </c>
      <c r="D46" s="34">
        <v>39</v>
      </c>
      <c r="F46" s="276">
        <v>20.83</v>
      </c>
      <c r="G46" s="34">
        <v>42</v>
      </c>
      <c r="I46" s="276">
        <v>25.78</v>
      </c>
      <c r="J46" s="34">
        <v>31</v>
      </c>
      <c r="L46" s="162">
        <v>670</v>
      </c>
      <c r="M46" s="34">
        <v>37</v>
      </c>
      <c r="O46" s="162">
        <v>24000</v>
      </c>
      <c r="P46" s="34">
        <v>40</v>
      </c>
      <c r="R46" s="33">
        <v>31.93</v>
      </c>
      <c r="S46" s="34">
        <v>33</v>
      </c>
      <c r="V46" s="104"/>
      <c r="W46" s="105"/>
      <c r="X46" s="105"/>
      <c r="Y46" s="82"/>
      <c r="Z46" s="84"/>
    </row>
    <row r="47" spans="2:26">
      <c r="B47" t="s">
        <v>178</v>
      </c>
      <c r="C47" s="102">
        <v>46.053223629234431</v>
      </c>
      <c r="D47" s="34">
        <v>40</v>
      </c>
      <c r="F47" s="276">
        <v>23.2</v>
      </c>
      <c r="G47" s="34">
        <v>13</v>
      </c>
      <c r="I47" s="276">
        <v>22.86</v>
      </c>
      <c r="J47" s="34">
        <v>43</v>
      </c>
      <c r="L47" s="162">
        <v>650</v>
      </c>
      <c r="M47" s="34">
        <v>42</v>
      </c>
      <c r="O47" s="162">
        <v>25000</v>
      </c>
      <c r="P47" s="34">
        <v>33</v>
      </c>
      <c r="R47" s="33">
        <v>32.18</v>
      </c>
      <c r="S47" s="34">
        <v>30</v>
      </c>
      <c r="V47" s="104"/>
      <c r="W47" s="105"/>
      <c r="X47" s="105"/>
      <c r="Y47" s="82"/>
      <c r="Z47" s="84"/>
    </row>
    <row r="48" spans="2:26">
      <c r="C48" s="102"/>
      <c r="F48" s="276"/>
      <c r="I48" s="276"/>
      <c r="L48" s="162"/>
      <c r="O48" s="162"/>
      <c r="R48" s="33"/>
      <c r="V48" s="104"/>
      <c r="W48" s="105"/>
      <c r="X48" s="105"/>
      <c r="Y48" s="82"/>
      <c r="Z48" s="84"/>
    </row>
    <row r="49" spans="2:26">
      <c r="B49" t="s">
        <v>179</v>
      </c>
      <c r="C49" s="102">
        <v>45.918483845187808</v>
      </c>
      <c r="D49" s="34">
        <v>41</v>
      </c>
      <c r="F49" s="276">
        <v>23.06</v>
      </c>
      <c r="G49" s="34">
        <v>16</v>
      </c>
      <c r="I49" s="276">
        <v>22.86</v>
      </c>
      <c r="J49" s="34">
        <v>44</v>
      </c>
      <c r="L49" s="162">
        <v>840</v>
      </c>
      <c r="M49" s="34">
        <v>18</v>
      </c>
      <c r="O49" s="162">
        <v>32000</v>
      </c>
      <c r="P49" s="34">
        <v>16</v>
      </c>
      <c r="R49" s="33">
        <v>27.23</v>
      </c>
      <c r="S49" s="34">
        <v>50</v>
      </c>
      <c r="V49" s="104"/>
      <c r="W49" s="105"/>
      <c r="X49" s="105"/>
      <c r="Y49" s="82"/>
      <c r="Z49" s="84"/>
    </row>
    <row r="50" spans="2:26">
      <c r="B50" t="s">
        <v>180</v>
      </c>
      <c r="C50" s="102">
        <v>45.68654928176187</v>
      </c>
      <c r="D50" s="34">
        <v>42</v>
      </c>
      <c r="F50" s="276">
        <v>21.19</v>
      </c>
      <c r="G50" s="34">
        <v>37</v>
      </c>
      <c r="I50" s="276">
        <v>24.49</v>
      </c>
      <c r="J50" s="34">
        <v>38</v>
      </c>
      <c r="L50" s="162">
        <v>650</v>
      </c>
      <c r="M50" s="34">
        <v>43</v>
      </c>
      <c r="O50" s="162">
        <v>25000</v>
      </c>
      <c r="P50" s="34">
        <v>35</v>
      </c>
      <c r="R50" s="33">
        <v>32.74</v>
      </c>
      <c r="S50" s="34">
        <v>22</v>
      </c>
      <c r="V50" s="104"/>
      <c r="W50" s="105"/>
      <c r="X50" s="105"/>
      <c r="Y50" s="82"/>
      <c r="Z50" s="84"/>
    </row>
    <row r="51" spans="2:26">
      <c r="B51" t="s">
        <v>181</v>
      </c>
      <c r="C51" s="102">
        <v>43.921420611812074</v>
      </c>
      <c r="D51" s="34">
        <v>43</v>
      </c>
      <c r="F51" s="276">
        <v>18.489999999999998</v>
      </c>
      <c r="G51" s="34">
        <v>49</v>
      </c>
      <c r="I51" s="276">
        <v>25.43</v>
      </c>
      <c r="J51" s="34">
        <v>34</v>
      </c>
      <c r="L51" s="162">
        <v>593</v>
      </c>
      <c r="M51" s="34">
        <v>47</v>
      </c>
      <c r="O51" s="162">
        <v>24400</v>
      </c>
      <c r="P51" s="34">
        <v>36</v>
      </c>
      <c r="R51" s="33">
        <v>27.44</v>
      </c>
      <c r="S51" s="34">
        <v>48</v>
      </c>
      <c r="V51" s="104"/>
      <c r="W51" s="105"/>
      <c r="X51" s="105"/>
      <c r="Y51" s="82"/>
      <c r="Z51" s="84"/>
    </row>
    <row r="52" spans="2:26">
      <c r="B52" t="s">
        <v>182</v>
      </c>
      <c r="C52" s="102">
        <v>43.305043255802104</v>
      </c>
      <c r="D52" s="34">
        <v>44</v>
      </c>
      <c r="F52" s="276">
        <v>21.25</v>
      </c>
      <c r="G52" s="34">
        <v>36</v>
      </c>
      <c r="I52" s="276">
        <v>22.06</v>
      </c>
      <c r="J52" s="34">
        <v>45</v>
      </c>
      <c r="L52" s="162">
        <v>657</v>
      </c>
      <c r="M52" s="34">
        <v>39</v>
      </c>
      <c r="O52" s="162">
        <v>27500</v>
      </c>
      <c r="P52" s="34">
        <v>27</v>
      </c>
      <c r="R52" s="33">
        <v>32.07</v>
      </c>
      <c r="S52" s="34">
        <v>32</v>
      </c>
      <c r="V52" s="104"/>
      <c r="W52" s="105"/>
      <c r="X52" s="105"/>
      <c r="Y52" s="82"/>
      <c r="Z52" s="84"/>
    </row>
    <row r="53" spans="2:26">
      <c r="B53" t="s">
        <v>183</v>
      </c>
      <c r="C53" s="102">
        <v>41.481790475541857</v>
      </c>
      <c r="D53" s="34">
        <v>45</v>
      </c>
      <c r="F53" s="276">
        <v>19.98</v>
      </c>
      <c r="G53" s="34">
        <v>46</v>
      </c>
      <c r="I53" s="276">
        <v>21.5</v>
      </c>
      <c r="J53" s="34">
        <v>46</v>
      </c>
      <c r="L53" s="162">
        <v>651</v>
      </c>
      <c r="M53" s="34">
        <v>40</v>
      </c>
      <c r="O53" s="162">
        <v>29400</v>
      </c>
      <c r="P53" s="34">
        <v>21</v>
      </c>
      <c r="R53" s="33">
        <v>32.46</v>
      </c>
      <c r="S53" s="34">
        <v>27</v>
      </c>
      <c r="V53" s="104"/>
      <c r="W53" s="105"/>
      <c r="X53" s="105"/>
      <c r="Y53" s="82"/>
      <c r="Z53" s="84"/>
    </row>
    <row r="54" spans="2:26">
      <c r="B54" t="s">
        <v>184</v>
      </c>
      <c r="C54" s="102">
        <v>41.454634956773226</v>
      </c>
      <c r="D54" s="34">
        <v>46</v>
      </c>
      <c r="F54" s="276">
        <v>22.94</v>
      </c>
      <c r="G54" s="34">
        <v>20</v>
      </c>
      <c r="I54" s="276">
        <v>18.510000000000002</v>
      </c>
      <c r="J54" s="34">
        <v>49</v>
      </c>
      <c r="L54" s="162">
        <v>610</v>
      </c>
      <c r="M54" s="34">
        <v>45</v>
      </c>
      <c r="O54" s="162">
        <v>26750</v>
      </c>
      <c r="P54" s="34">
        <v>32</v>
      </c>
      <c r="R54" s="33">
        <v>32.159999999999997</v>
      </c>
      <c r="S54" s="34">
        <v>31</v>
      </c>
      <c r="V54" s="104"/>
      <c r="W54" s="105"/>
      <c r="X54" s="105"/>
      <c r="Y54" s="82"/>
      <c r="Z54" s="84"/>
    </row>
    <row r="55" spans="2:26">
      <c r="B55" t="s">
        <v>185</v>
      </c>
      <c r="C55" s="102">
        <v>41.092961770643704</v>
      </c>
      <c r="D55" s="34">
        <v>47</v>
      </c>
      <c r="F55" s="276">
        <v>16.91</v>
      </c>
      <c r="G55" s="34">
        <v>50</v>
      </c>
      <c r="I55" s="276">
        <v>24.18</v>
      </c>
      <c r="J55" s="34">
        <v>41</v>
      </c>
      <c r="L55" s="162">
        <v>568</v>
      </c>
      <c r="M55" s="34">
        <v>49</v>
      </c>
      <c r="O55" s="162">
        <v>19000</v>
      </c>
      <c r="P55" s="34">
        <v>51</v>
      </c>
      <c r="R55" s="33">
        <v>27.41</v>
      </c>
      <c r="S55" s="34">
        <v>49</v>
      </c>
      <c r="V55" s="104"/>
      <c r="W55" s="105"/>
      <c r="X55" s="105"/>
      <c r="Y55" s="82"/>
      <c r="Z55" s="84"/>
    </row>
    <row r="56" spans="2:26">
      <c r="B56" t="s">
        <v>186</v>
      </c>
      <c r="C56" s="102">
        <v>40.66353242867828</v>
      </c>
      <c r="D56" s="34">
        <v>48</v>
      </c>
      <c r="F56" s="276">
        <v>21.6</v>
      </c>
      <c r="G56" s="34">
        <v>35</v>
      </c>
      <c r="I56" s="276">
        <v>19.059999999999999</v>
      </c>
      <c r="J56" s="34">
        <v>48</v>
      </c>
      <c r="L56" s="162">
        <v>950</v>
      </c>
      <c r="M56" s="34">
        <v>10</v>
      </c>
      <c r="O56" s="162">
        <v>41400</v>
      </c>
      <c r="P56" s="34">
        <v>3</v>
      </c>
      <c r="R56" s="33">
        <v>36.369999999999997</v>
      </c>
      <c r="S56" s="34">
        <v>11</v>
      </c>
      <c r="V56" s="104"/>
      <c r="W56" s="105"/>
      <c r="X56" s="105"/>
      <c r="Y56" s="82"/>
      <c r="Z56" s="84"/>
    </row>
    <row r="57" spans="2:26">
      <c r="B57" t="s">
        <v>187</v>
      </c>
      <c r="C57" s="102">
        <v>39.302157815450549</v>
      </c>
      <c r="D57" s="34">
        <v>49</v>
      </c>
      <c r="F57" s="276">
        <v>18.98</v>
      </c>
      <c r="G57" s="34">
        <v>47</v>
      </c>
      <c r="I57" s="276">
        <v>20.32</v>
      </c>
      <c r="J57" s="34">
        <v>47</v>
      </c>
      <c r="L57" s="162">
        <v>540</v>
      </c>
      <c r="M57" s="34">
        <v>51</v>
      </c>
      <c r="O57" s="162">
        <v>27400</v>
      </c>
      <c r="P57" s="34">
        <v>28</v>
      </c>
      <c r="R57" s="33">
        <v>33.26</v>
      </c>
      <c r="S57" s="34">
        <v>19</v>
      </c>
      <c r="V57" s="104"/>
      <c r="W57" s="105"/>
      <c r="X57" s="105"/>
      <c r="Y57" s="82"/>
      <c r="Z57" s="84"/>
    </row>
    <row r="58" spans="2:26">
      <c r="B58" t="s">
        <v>188</v>
      </c>
      <c r="C58" s="102">
        <v>33.947100512940992</v>
      </c>
      <c r="D58" s="34">
        <v>50</v>
      </c>
      <c r="F58" s="276">
        <v>18.649999999999999</v>
      </c>
      <c r="G58" s="34">
        <v>48</v>
      </c>
      <c r="I58" s="276">
        <v>15.3</v>
      </c>
      <c r="J58" s="34">
        <v>51</v>
      </c>
      <c r="L58" s="162">
        <v>543</v>
      </c>
      <c r="M58" s="34">
        <v>50</v>
      </c>
      <c r="O58" s="162">
        <v>30000</v>
      </c>
      <c r="P58" s="34">
        <v>19</v>
      </c>
      <c r="R58" s="33">
        <v>31.61</v>
      </c>
      <c r="S58" s="34">
        <v>34</v>
      </c>
      <c r="V58" s="104"/>
      <c r="W58" s="105"/>
      <c r="X58" s="105"/>
      <c r="Y58" s="82"/>
      <c r="Z58" s="84"/>
    </row>
    <row r="59" spans="2:26">
      <c r="B59" t="s">
        <v>189</v>
      </c>
      <c r="C59" s="102">
        <v>31.983975753574693</v>
      </c>
      <c r="D59" s="34">
        <v>51</v>
      </c>
      <c r="F59" s="276">
        <v>15.23</v>
      </c>
      <c r="G59" s="34">
        <v>51</v>
      </c>
      <c r="I59" s="276">
        <v>16.75</v>
      </c>
      <c r="J59" s="34">
        <v>50</v>
      </c>
      <c r="L59" s="162">
        <v>700</v>
      </c>
      <c r="M59" s="34">
        <v>34</v>
      </c>
      <c r="O59" s="162">
        <v>32400</v>
      </c>
      <c r="P59" s="34">
        <v>11</v>
      </c>
      <c r="R59" s="33">
        <v>29.95</v>
      </c>
      <c r="S59" s="34">
        <v>43</v>
      </c>
      <c r="V59" s="104"/>
      <c r="W59" s="105"/>
      <c r="X59" s="105"/>
      <c r="Y59" s="82"/>
      <c r="Z59" s="84"/>
    </row>
    <row r="60" spans="2:26">
      <c r="F60" s="276"/>
      <c r="I60" s="276"/>
      <c r="L60" s="162"/>
      <c r="O60" s="162"/>
      <c r="V60" s="104"/>
      <c r="W60" s="105"/>
      <c r="X60" s="105"/>
      <c r="Y60" s="82"/>
      <c r="Z60" s="84"/>
    </row>
    <row r="61" spans="2:26">
      <c r="B61" t="s">
        <v>190</v>
      </c>
      <c r="C61" s="277">
        <v>50.7</v>
      </c>
      <c r="F61" s="276">
        <v>22.82</v>
      </c>
      <c r="I61" s="276">
        <v>27.93</v>
      </c>
      <c r="L61" s="162">
        <v>840</v>
      </c>
      <c r="O61" s="162">
        <v>29000</v>
      </c>
      <c r="R61" s="276">
        <v>35.32</v>
      </c>
      <c r="V61" s="106"/>
      <c r="W61" s="107"/>
      <c r="X61" s="107"/>
      <c r="Z61" s="84"/>
    </row>
    <row r="63" spans="2:26" ht="28.5" customHeight="1">
      <c r="B63" s="333" t="s">
        <v>191</v>
      </c>
      <c r="C63" s="333"/>
      <c r="D63" s="333"/>
      <c r="E63" s="333"/>
      <c r="F63" s="333"/>
      <c r="G63" s="333"/>
      <c r="H63" s="333"/>
      <c r="I63" s="333"/>
      <c r="J63" s="333"/>
      <c r="K63" s="333"/>
      <c r="L63" s="333"/>
      <c r="M63" s="333"/>
      <c r="N63" s="333"/>
      <c r="O63" s="333"/>
      <c r="P63" s="333"/>
      <c r="Q63" s="333"/>
      <c r="R63" s="333"/>
      <c r="S63" s="333"/>
    </row>
    <row r="64" spans="2:26">
      <c r="B64" t="s">
        <v>247</v>
      </c>
    </row>
  </sheetData>
  <mergeCells count="3">
    <mergeCell ref="V4:V5"/>
    <mergeCell ref="W4:X4"/>
    <mergeCell ref="B63:S6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A2" sqref="A2"/>
    </sheetView>
  </sheetViews>
  <sheetFormatPr defaultColWidth="8.85546875" defaultRowHeight="15"/>
  <cols>
    <col min="2" max="2" width="14" customWidth="1"/>
  </cols>
  <sheetData>
    <row r="1" spans="1:18">
      <c r="A1" s="22" t="s">
        <v>404</v>
      </c>
      <c r="B1" s="23"/>
      <c r="C1" s="23"/>
      <c r="D1" s="23"/>
      <c r="E1" s="23"/>
      <c r="F1" s="23"/>
      <c r="G1" s="23"/>
      <c r="H1" s="23"/>
      <c r="I1" s="23"/>
      <c r="J1" s="23"/>
      <c r="K1" s="23"/>
      <c r="L1" s="23"/>
      <c r="M1" s="23"/>
      <c r="N1" s="23"/>
      <c r="O1" s="23"/>
      <c r="P1" s="23"/>
      <c r="Q1" s="23"/>
      <c r="R1" s="23"/>
    </row>
    <row r="2" spans="1:18">
      <c r="A2" s="22"/>
      <c r="B2" s="23"/>
      <c r="C2" s="23"/>
      <c r="D2" s="23"/>
      <c r="E2" s="23"/>
      <c r="F2" s="23"/>
      <c r="G2" s="23"/>
      <c r="H2" s="23"/>
      <c r="I2" s="23"/>
      <c r="J2" s="23"/>
      <c r="K2" s="23"/>
      <c r="L2" s="23"/>
      <c r="M2" s="23"/>
      <c r="N2" s="23"/>
      <c r="O2" s="23"/>
      <c r="P2" s="23"/>
      <c r="Q2" s="23"/>
      <c r="R2" s="23"/>
    </row>
    <row r="3" spans="1:18">
      <c r="A3" s="23" t="s">
        <v>49</v>
      </c>
      <c r="B3" s="23"/>
      <c r="C3" s="23"/>
      <c r="D3" s="23"/>
      <c r="E3" s="23"/>
      <c r="F3" s="23"/>
      <c r="G3" s="23"/>
      <c r="H3" s="23"/>
      <c r="I3" s="23"/>
      <c r="J3" s="23"/>
      <c r="K3" s="23"/>
      <c r="L3" s="23"/>
      <c r="M3" s="23"/>
      <c r="N3" s="23"/>
      <c r="O3" s="23"/>
      <c r="P3" s="23"/>
      <c r="Q3" s="23"/>
      <c r="R3" s="23"/>
    </row>
    <row r="4" spans="1:18">
      <c r="A4" s="23"/>
      <c r="B4" s="23"/>
      <c r="C4" s="23"/>
      <c r="D4" s="23"/>
      <c r="E4" s="23"/>
      <c r="F4" s="23"/>
      <c r="G4" s="23"/>
      <c r="H4" s="23"/>
      <c r="I4" s="23"/>
      <c r="J4" s="23"/>
      <c r="K4" s="23"/>
      <c r="L4" s="23"/>
      <c r="M4" s="23"/>
      <c r="N4" s="23"/>
      <c r="O4" s="23"/>
      <c r="P4" s="23"/>
      <c r="Q4" s="23"/>
      <c r="R4" s="23"/>
    </row>
    <row r="5" spans="1:18">
      <c r="A5" s="23"/>
      <c r="B5" s="23"/>
      <c r="C5" s="26">
        <v>1960</v>
      </c>
      <c r="D5" s="26">
        <v>1970</v>
      </c>
      <c r="E5" s="26">
        <v>1980</v>
      </c>
      <c r="F5" s="26">
        <v>1990</v>
      </c>
      <c r="G5" s="26">
        <v>2000</v>
      </c>
      <c r="H5" s="26">
        <v>2001</v>
      </c>
      <c r="I5" s="26">
        <v>2002</v>
      </c>
      <c r="J5" s="26">
        <v>2003</v>
      </c>
      <c r="K5" s="26">
        <v>2004</v>
      </c>
      <c r="L5" s="26">
        <v>2005</v>
      </c>
      <c r="M5" s="26">
        <v>2006</v>
      </c>
      <c r="N5" s="26">
        <v>2007</v>
      </c>
      <c r="O5" s="26">
        <v>2008</v>
      </c>
      <c r="P5" s="26">
        <v>2009</v>
      </c>
      <c r="Q5" s="26">
        <v>2010</v>
      </c>
      <c r="R5" s="26">
        <v>2011</v>
      </c>
    </row>
    <row r="6" spans="1:18">
      <c r="A6" s="23" t="s">
        <v>127</v>
      </c>
      <c r="B6" s="23"/>
      <c r="C6" s="23"/>
      <c r="D6" s="23"/>
      <c r="E6" s="23"/>
      <c r="F6" s="23"/>
      <c r="G6" s="23"/>
      <c r="H6" s="23"/>
      <c r="I6" s="23"/>
      <c r="J6" s="23"/>
      <c r="K6" s="23"/>
      <c r="L6" s="23"/>
      <c r="M6" s="23"/>
      <c r="N6" s="23"/>
      <c r="O6" s="23"/>
      <c r="P6" s="23"/>
      <c r="Q6" s="23"/>
      <c r="R6" s="23"/>
    </row>
    <row r="7" spans="1:18">
      <c r="A7" s="23"/>
      <c r="B7" s="23" t="s">
        <v>27</v>
      </c>
      <c r="C7" s="91">
        <v>21.63</v>
      </c>
      <c r="D7" s="91">
        <v>24.46</v>
      </c>
      <c r="E7" s="91">
        <v>22.28</v>
      </c>
      <c r="F7" s="91">
        <v>23.13</v>
      </c>
      <c r="G7" s="91">
        <v>23.68</v>
      </c>
      <c r="H7" s="91">
        <v>23.81</v>
      </c>
      <c r="I7" s="91">
        <v>23.8</v>
      </c>
      <c r="J7" s="91">
        <v>22</v>
      </c>
      <c r="K7" s="91">
        <v>21.71</v>
      </c>
      <c r="L7" s="90">
        <v>20.64</v>
      </c>
      <c r="M7" s="90">
        <v>21.46</v>
      </c>
      <c r="N7" s="94">
        <v>22.17</v>
      </c>
      <c r="O7" s="90">
        <v>21.54</v>
      </c>
      <c r="P7" s="94">
        <v>20.03</v>
      </c>
      <c r="Q7" s="94">
        <v>18.920000000000002</v>
      </c>
      <c r="R7" s="94">
        <v>17.95</v>
      </c>
    </row>
    <row r="8" spans="1:18">
      <c r="A8" s="23"/>
      <c r="B8" s="23" t="s">
        <v>121</v>
      </c>
      <c r="C8" s="91">
        <v>20.420000000000002</v>
      </c>
      <c r="D8" s="91">
        <v>20.81</v>
      </c>
      <c r="E8" s="91">
        <v>32.119999999999997</v>
      </c>
      <c r="F8" s="91">
        <v>34.67</v>
      </c>
      <c r="G8" s="91">
        <v>31.87</v>
      </c>
      <c r="H8" s="91">
        <v>37.08</v>
      </c>
      <c r="I8" s="91">
        <v>36.6</v>
      </c>
      <c r="J8" s="91">
        <v>37.39</v>
      </c>
      <c r="K8" s="91">
        <v>38.61</v>
      </c>
      <c r="L8" s="90">
        <v>39.69</v>
      </c>
      <c r="M8" s="90">
        <v>39.15</v>
      </c>
      <c r="N8" s="94">
        <v>38.630000000000003</v>
      </c>
      <c r="O8" s="90">
        <v>38.86</v>
      </c>
      <c r="P8" s="94">
        <v>40.81</v>
      </c>
      <c r="Q8" s="94">
        <v>42.06</v>
      </c>
      <c r="R8" s="94">
        <v>42.78</v>
      </c>
    </row>
    <row r="9" spans="1:18">
      <c r="A9" s="23"/>
      <c r="B9" s="23" t="s">
        <v>79</v>
      </c>
      <c r="C9" s="91">
        <v>4.18</v>
      </c>
      <c r="D9" s="91">
        <v>3.52</v>
      </c>
      <c r="E9" s="91">
        <v>8.58</v>
      </c>
      <c r="F9" s="91">
        <v>12.95</v>
      </c>
      <c r="G9" s="91">
        <v>8.86</v>
      </c>
      <c r="H9" s="91">
        <v>11.9</v>
      </c>
      <c r="I9" s="91">
        <v>12.59</v>
      </c>
      <c r="J9" s="91">
        <v>14.11</v>
      </c>
      <c r="K9" s="91">
        <v>14.76</v>
      </c>
      <c r="L9" s="90">
        <v>16.7</v>
      </c>
      <c r="M9" s="90">
        <v>17.149999999999999</v>
      </c>
      <c r="N9" s="94">
        <v>16.73</v>
      </c>
      <c r="O9" s="90">
        <v>17.63</v>
      </c>
      <c r="P9" s="94">
        <v>19.8</v>
      </c>
      <c r="Q9" s="94">
        <v>21.93</v>
      </c>
      <c r="R9" s="94">
        <v>22.47</v>
      </c>
    </row>
    <row r="10" spans="1:18">
      <c r="A10" s="23"/>
      <c r="B10" s="23" t="s">
        <v>122</v>
      </c>
      <c r="C10" s="91">
        <v>1.1299999999999999</v>
      </c>
      <c r="D10" s="91">
        <v>1.0900000000000001</v>
      </c>
      <c r="E10" s="91">
        <v>1.7</v>
      </c>
      <c r="F10" s="91">
        <v>4.8600000000000003</v>
      </c>
      <c r="G10" s="91">
        <v>3.2</v>
      </c>
      <c r="H10" s="91">
        <v>4.1399999999999997</v>
      </c>
      <c r="I10" s="91">
        <v>4.28</v>
      </c>
      <c r="J10" s="91">
        <v>5.26</v>
      </c>
      <c r="K10" s="91">
        <v>5.35</v>
      </c>
      <c r="L10" s="90">
        <v>6.24</v>
      </c>
      <c r="M10" s="90">
        <v>6.47</v>
      </c>
      <c r="N10" s="94">
        <v>6.43</v>
      </c>
      <c r="O10" s="90">
        <v>6.68</v>
      </c>
      <c r="P10" s="94">
        <v>7.66</v>
      </c>
      <c r="Q10" s="94">
        <v>8.4700000000000006</v>
      </c>
      <c r="R10" s="94">
        <v>8.76</v>
      </c>
    </row>
    <row r="11" spans="1:18">
      <c r="A11" s="23"/>
      <c r="B11" s="23" t="s">
        <v>28</v>
      </c>
      <c r="C11" s="97">
        <v>0</v>
      </c>
      <c r="D11" s="91">
        <v>0.31</v>
      </c>
      <c r="E11" s="91">
        <v>0.01</v>
      </c>
      <c r="F11" s="91">
        <v>0.45</v>
      </c>
      <c r="G11" s="91">
        <v>0.93</v>
      </c>
      <c r="H11" s="91">
        <v>1.97</v>
      </c>
      <c r="I11" s="91">
        <v>1.73</v>
      </c>
      <c r="J11" s="91">
        <v>1.46</v>
      </c>
      <c r="K11" s="91">
        <v>1.61</v>
      </c>
      <c r="L11" s="90">
        <v>1.74</v>
      </c>
      <c r="M11" s="90">
        <v>1.75</v>
      </c>
      <c r="N11" s="94">
        <v>1.88</v>
      </c>
      <c r="O11" s="90">
        <v>1.63</v>
      </c>
      <c r="P11" s="94">
        <v>1.9</v>
      </c>
      <c r="Q11" s="94">
        <v>2.16</v>
      </c>
      <c r="R11" s="94">
        <v>2.15</v>
      </c>
    </row>
    <row r="12" spans="1:18">
      <c r="A12" s="23"/>
      <c r="B12" s="23" t="s">
        <v>125</v>
      </c>
      <c r="C12" s="91">
        <v>11.86</v>
      </c>
      <c r="D12" s="91">
        <v>12.95</v>
      </c>
      <c r="E12" s="91">
        <v>17.649999999999999</v>
      </c>
      <c r="F12" s="91">
        <v>19.559999999999999</v>
      </c>
      <c r="G12" s="91">
        <v>18.420000000000002</v>
      </c>
      <c r="H12" s="91">
        <v>20.54</v>
      </c>
      <c r="I12" s="91">
        <v>20.71</v>
      </c>
      <c r="J12" s="91">
        <v>20.88</v>
      </c>
      <c r="K12" s="91">
        <v>21.41</v>
      </c>
      <c r="L12" s="90">
        <v>21.87</v>
      </c>
      <c r="M12" s="90">
        <v>22.14</v>
      </c>
      <c r="N12" s="94">
        <v>22.17</v>
      </c>
      <c r="O12" s="90">
        <v>22.11</v>
      </c>
      <c r="P12" s="94">
        <v>22.55</v>
      </c>
      <c r="Q12" s="94">
        <v>22.91</v>
      </c>
      <c r="R12" s="94">
        <v>22.82</v>
      </c>
    </row>
    <row r="13" spans="1:18">
      <c r="A13" s="23"/>
      <c r="B13" s="23"/>
      <c r="C13" s="91"/>
      <c r="D13" s="91"/>
      <c r="E13" s="91"/>
      <c r="F13" s="91"/>
      <c r="G13" s="91"/>
      <c r="H13" s="91"/>
      <c r="I13" s="91"/>
      <c r="J13" s="91"/>
      <c r="K13" s="91"/>
      <c r="L13" s="90"/>
      <c r="M13" s="90"/>
      <c r="N13" s="96"/>
      <c r="O13" s="90"/>
      <c r="P13" s="94"/>
      <c r="Q13" s="94"/>
      <c r="R13" s="94"/>
    </row>
    <row r="14" spans="1:18">
      <c r="A14" s="23" t="s">
        <v>126</v>
      </c>
      <c r="B14" s="23"/>
      <c r="C14" s="91"/>
      <c r="D14" s="91"/>
      <c r="E14" s="91"/>
      <c r="F14" s="91"/>
      <c r="G14" s="91"/>
      <c r="H14" s="91"/>
      <c r="I14" s="91"/>
      <c r="J14" s="91"/>
      <c r="K14" s="91"/>
      <c r="L14" s="90"/>
      <c r="M14" s="90"/>
      <c r="N14" s="94"/>
      <c r="O14" s="90"/>
      <c r="P14" s="94"/>
      <c r="Q14" s="94"/>
      <c r="R14" s="94"/>
    </row>
    <row r="15" spans="1:18">
      <c r="A15" s="23"/>
      <c r="B15" s="23" t="s">
        <v>27</v>
      </c>
      <c r="C15" s="91">
        <v>43.95</v>
      </c>
      <c r="D15" s="91">
        <v>49.02</v>
      </c>
      <c r="E15" s="91">
        <v>51.78</v>
      </c>
      <c r="F15" s="91">
        <v>53.9</v>
      </c>
      <c r="G15" s="91">
        <v>52.71</v>
      </c>
      <c r="H15" s="91">
        <v>55.21</v>
      </c>
      <c r="I15" s="91">
        <v>55.01</v>
      </c>
      <c r="J15" s="91">
        <v>56.39</v>
      </c>
      <c r="K15" s="91">
        <v>57.56</v>
      </c>
      <c r="L15" s="90">
        <v>59.4</v>
      </c>
      <c r="M15" s="90">
        <v>58.52</v>
      </c>
      <c r="N15" s="94">
        <v>57.42</v>
      </c>
      <c r="O15" s="90">
        <v>59.89</v>
      </c>
      <c r="P15" s="94">
        <v>61.43</v>
      </c>
      <c r="Q15" s="94">
        <v>63.59</v>
      </c>
      <c r="R15" s="94">
        <v>64.849999999999994</v>
      </c>
    </row>
    <row r="16" spans="1:18">
      <c r="A16" s="23"/>
      <c r="B16" s="23" t="s">
        <v>121</v>
      </c>
      <c r="C16" s="91">
        <v>2.62</v>
      </c>
      <c r="D16" s="91">
        <v>2.91</v>
      </c>
      <c r="E16" s="91">
        <v>5.64</v>
      </c>
      <c r="F16" s="91">
        <v>8.34</v>
      </c>
      <c r="G16" s="91">
        <v>6.35</v>
      </c>
      <c r="H16" s="91">
        <v>7.92</v>
      </c>
      <c r="I16" s="91">
        <v>8.92</v>
      </c>
      <c r="J16" s="91">
        <v>10.45</v>
      </c>
      <c r="K16" s="91">
        <v>11.05</v>
      </c>
      <c r="L16" s="90">
        <v>12.41</v>
      </c>
      <c r="M16" s="90">
        <v>12.61</v>
      </c>
      <c r="N16" s="94">
        <v>12.07</v>
      </c>
      <c r="O16" s="90">
        <v>12.63</v>
      </c>
      <c r="P16" s="94">
        <v>14.85</v>
      </c>
      <c r="Q16" s="94">
        <v>16.690000000000001</v>
      </c>
      <c r="R16" s="94">
        <v>18.399999999999999</v>
      </c>
    </row>
    <row r="17" spans="1:18">
      <c r="A17" s="23"/>
      <c r="B17" s="23" t="s">
        <v>79</v>
      </c>
      <c r="C17" s="91">
        <v>7.0000000000000007E-2</v>
      </c>
      <c r="D17" s="91">
        <v>0.2</v>
      </c>
      <c r="E17" s="91">
        <v>0.23</v>
      </c>
      <c r="F17" s="91">
        <v>1.28</v>
      </c>
      <c r="G17" s="91">
        <v>1.37</v>
      </c>
      <c r="H17" s="91">
        <v>1.34</v>
      </c>
      <c r="I17" s="91">
        <v>1.38</v>
      </c>
      <c r="J17" s="91">
        <v>1.63</v>
      </c>
      <c r="K17" s="91">
        <v>1.95</v>
      </c>
      <c r="L17" s="90">
        <v>2.1</v>
      </c>
      <c r="M17" s="90">
        <v>2.15</v>
      </c>
      <c r="N17" s="94">
        <v>2.19</v>
      </c>
      <c r="O17" s="90">
        <v>2.38</v>
      </c>
      <c r="P17" s="94">
        <v>2.73</v>
      </c>
      <c r="Q17" s="94">
        <v>3.15</v>
      </c>
      <c r="R17" s="94">
        <v>3.24</v>
      </c>
    </row>
    <row r="18" spans="1:18">
      <c r="A18" s="23"/>
      <c r="B18" s="23" t="s">
        <v>122</v>
      </c>
      <c r="C18" s="95">
        <v>0</v>
      </c>
      <c r="D18" s="91">
        <v>0.05</v>
      </c>
      <c r="E18" s="91">
        <v>0</v>
      </c>
      <c r="F18" s="91">
        <v>0</v>
      </c>
      <c r="G18" s="91">
        <v>0.24</v>
      </c>
      <c r="H18" s="91">
        <v>0.41</v>
      </c>
      <c r="I18" s="91">
        <v>0.41</v>
      </c>
      <c r="J18" s="91">
        <v>0.47</v>
      </c>
      <c r="K18" s="91">
        <v>0.5</v>
      </c>
      <c r="L18" s="90">
        <v>0.52</v>
      </c>
      <c r="M18" s="90">
        <v>0.55000000000000004</v>
      </c>
      <c r="N18" s="94">
        <v>0.47</v>
      </c>
      <c r="O18" s="90">
        <v>0.47</v>
      </c>
      <c r="P18" s="94">
        <v>0.56999999999999995</v>
      </c>
      <c r="Q18" s="94">
        <v>0.57999999999999996</v>
      </c>
      <c r="R18" s="94">
        <v>0.73</v>
      </c>
    </row>
    <row r="19" spans="1:18">
      <c r="A19" s="23"/>
      <c r="B19" s="23" t="s">
        <v>28</v>
      </c>
      <c r="C19" s="95">
        <v>0</v>
      </c>
      <c r="D19" s="91">
        <v>0</v>
      </c>
      <c r="E19" s="91">
        <v>0</v>
      </c>
      <c r="F19" s="91">
        <v>0</v>
      </c>
      <c r="G19" s="91">
        <v>0</v>
      </c>
      <c r="H19" s="91">
        <v>0</v>
      </c>
      <c r="I19" s="91">
        <v>0</v>
      </c>
      <c r="J19" s="91">
        <v>0</v>
      </c>
      <c r="K19" s="91">
        <v>0</v>
      </c>
      <c r="L19" s="90">
        <v>0</v>
      </c>
      <c r="M19" s="90">
        <v>0</v>
      </c>
      <c r="N19" s="90">
        <v>0</v>
      </c>
      <c r="O19" s="90">
        <v>0</v>
      </c>
      <c r="P19" s="90">
        <v>0</v>
      </c>
      <c r="Q19" s="90">
        <v>0</v>
      </c>
      <c r="R19" s="90">
        <v>0</v>
      </c>
    </row>
    <row r="20" spans="1:18">
      <c r="A20" s="23"/>
      <c r="B20" s="23" t="s">
        <v>125</v>
      </c>
      <c r="C20" s="91">
        <v>11.93</v>
      </c>
      <c r="D20" s="91">
        <v>14.04</v>
      </c>
      <c r="E20" s="91">
        <v>17.77</v>
      </c>
      <c r="F20" s="91">
        <v>19.43</v>
      </c>
      <c r="G20" s="91">
        <v>19.68</v>
      </c>
      <c r="H20" s="91">
        <v>20.68</v>
      </c>
      <c r="I20" s="91">
        <v>21.44</v>
      </c>
      <c r="J20" s="91">
        <v>22.59</v>
      </c>
      <c r="K20" s="91">
        <v>23.54</v>
      </c>
      <c r="L20" s="90">
        <v>24.65</v>
      </c>
      <c r="M20" s="90">
        <v>24.51</v>
      </c>
      <c r="N20" s="94">
        <v>24.09</v>
      </c>
      <c r="O20" s="90">
        <v>24.94</v>
      </c>
      <c r="P20" s="94">
        <v>26.12</v>
      </c>
      <c r="Q20" s="94">
        <v>27.28</v>
      </c>
      <c r="R20" s="94">
        <v>27.93</v>
      </c>
    </row>
    <row r="21" spans="1:18">
      <c r="A21" s="23"/>
      <c r="B21" s="23"/>
      <c r="C21" s="91"/>
      <c r="D21" s="91"/>
      <c r="E21" s="91"/>
      <c r="F21" s="91"/>
      <c r="G21" s="91"/>
      <c r="H21" s="93"/>
      <c r="I21" s="93"/>
      <c r="J21" s="93"/>
      <c r="K21" s="93"/>
      <c r="L21" s="92"/>
      <c r="M21" s="92"/>
      <c r="N21" s="92"/>
      <c r="O21" s="92"/>
      <c r="P21" s="90"/>
      <c r="Q21" s="92"/>
      <c r="R21" s="92"/>
    </row>
    <row r="22" spans="1:18">
      <c r="A22" s="23" t="s">
        <v>7</v>
      </c>
      <c r="B22" s="23"/>
      <c r="C22" s="91"/>
      <c r="D22" s="91"/>
      <c r="E22" s="91"/>
      <c r="F22" s="91"/>
      <c r="G22" s="91"/>
      <c r="H22" s="91"/>
      <c r="I22" s="91"/>
      <c r="J22" s="91"/>
      <c r="K22" s="91"/>
      <c r="L22" s="90"/>
      <c r="M22" s="90"/>
      <c r="N22" s="90"/>
      <c r="O22" s="90"/>
      <c r="P22" s="90"/>
      <c r="Q22" s="92"/>
      <c r="R22" s="92"/>
    </row>
    <row r="23" spans="1:18">
      <c r="A23" s="23"/>
      <c r="B23" s="23" t="s">
        <v>27</v>
      </c>
      <c r="C23" s="91">
        <v>65.58</v>
      </c>
      <c r="D23" s="91">
        <v>73.48</v>
      </c>
      <c r="E23" s="91">
        <v>74.06</v>
      </c>
      <c r="F23" s="91">
        <v>77.03</v>
      </c>
      <c r="G23" s="91">
        <v>76.39</v>
      </c>
      <c r="H23" s="91">
        <v>79.02</v>
      </c>
      <c r="I23" s="91">
        <v>78.81</v>
      </c>
      <c r="J23" s="91">
        <v>78.39</v>
      </c>
      <c r="K23" s="91">
        <v>79.27000000000001</v>
      </c>
      <c r="L23" s="90">
        <v>80.040000000000006</v>
      </c>
      <c r="M23" s="90">
        <v>79.98</v>
      </c>
      <c r="N23" s="90">
        <v>79.59</v>
      </c>
      <c r="O23" s="90">
        <v>81.430000000000007</v>
      </c>
      <c r="P23" s="90">
        <v>81.460000000000008</v>
      </c>
      <c r="Q23" s="90">
        <v>82.51</v>
      </c>
      <c r="R23" s="90">
        <v>82.8</v>
      </c>
    </row>
    <row r="24" spans="1:18">
      <c r="A24" s="23"/>
      <c r="B24" s="23" t="s">
        <v>121</v>
      </c>
      <c r="C24" s="91">
        <v>23.040000000000003</v>
      </c>
      <c r="D24" s="91">
        <v>23.72</v>
      </c>
      <c r="E24" s="91">
        <v>37.76</v>
      </c>
      <c r="F24" s="91">
        <v>43.010000000000005</v>
      </c>
      <c r="G24" s="91">
        <v>38.22</v>
      </c>
      <c r="H24" s="91">
        <v>45</v>
      </c>
      <c r="I24" s="91">
        <v>45.52</v>
      </c>
      <c r="J24" s="91">
        <v>47.84</v>
      </c>
      <c r="K24" s="91">
        <v>49.66</v>
      </c>
      <c r="L24" s="90">
        <v>52.1</v>
      </c>
      <c r="M24" s="90">
        <v>51.760000000000005</v>
      </c>
      <c r="N24" s="90">
        <v>50.7</v>
      </c>
      <c r="O24" s="90">
        <v>51.49</v>
      </c>
      <c r="P24" s="90">
        <v>55.660000000000004</v>
      </c>
      <c r="Q24" s="90">
        <v>58.75</v>
      </c>
      <c r="R24" s="90">
        <v>61.18</v>
      </c>
    </row>
    <row r="25" spans="1:18">
      <c r="A25" s="23"/>
      <c r="B25" s="23" t="s">
        <v>79</v>
      </c>
      <c r="C25" s="91">
        <v>4.25</v>
      </c>
      <c r="D25" s="91">
        <v>3.72</v>
      </c>
      <c r="E25" s="91">
        <v>8.81</v>
      </c>
      <c r="F25" s="91">
        <v>14.229999999999999</v>
      </c>
      <c r="G25" s="91">
        <v>10.23</v>
      </c>
      <c r="H25" s="91">
        <v>13.24</v>
      </c>
      <c r="I25" s="91">
        <v>13.969999999999999</v>
      </c>
      <c r="J25" s="91">
        <v>15.739999999999998</v>
      </c>
      <c r="K25" s="91">
        <v>16.71</v>
      </c>
      <c r="L25" s="90">
        <v>18.8</v>
      </c>
      <c r="M25" s="90">
        <v>19.3</v>
      </c>
      <c r="N25" s="90">
        <v>18.920000000000002</v>
      </c>
      <c r="O25" s="90">
        <v>20.010000000000002</v>
      </c>
      <c r="P25" s="90">
        <v>22.53</v>
      </c>
      <c r="Q25" s="90">
        <v>25.08</v>
      </c>
      <c r="R25" s="90">
        <v>25.71</v>
      </c>
    </row>
    <row r="26" spans="1:18">
      <c r="A26" s="23"/>
      <c r="B26" s="23" t="s">
        <v>122</v>
      </c>
      <c r="C26" s="91">
        <v>1.1299999999999999</v>
      </c>
      <c r="D26" s="91">
        <v>1.1400000000000001</v>
      </c>
      <c r="E26" s="91">
        <v>1.7</v>
      </c>
      <c r="F26" s="91">
        <v>4.88</v>
      </c>
      <c r="G26" s="91">
        <v>3.4400000000000004</v>
      </c>
      <c r="H26" s="91">
        <v>4.55</v>
      </c>
      <c r="I26" s="91">
        <v>4.6900000000000004</v>
      </c>
      <c r="J26" s="91">
        <v>5.7299999999999995</v>
      </c>
      <c r="K26" s="91">
        <v>5.85</v>
      </c>
      <c r="L26" s="90">
        <v>6.76</v>
      </c>
      <c r="M26" s="90">
        <v>7.02</v>
      </c>
      <c r="N26" s="90">
        <v>6.8999999999999995</v>
      </c>
      <c r="O26" s="90">
        <v>7.15</v>
      </c>
      <c r="P26" s="90">
        <v>8.23</v>
      </c>
      <c r="Q26" s="90">
        <v>9.0500000000000007</v>
      </c>
      <c r="R26" s="90">
        <v>9.49</v>
      </c>
    </row>
    <row r="27" spans="1:18">
      <c r="A27" s="23"/>
      <c r="B27" s="23" t="s">
        <v>28</v>
      </c>
      <c r="C27" s="91">
        <v>0</v>
      </c>
      <c r="D27" s="91">
        <v>0.33999999999999997</v>
      </c>
      <c r="E27" s="91">
        <v>0</v>
      </c>
      <c r="F27" s="91">
        <v>0.45</v>
      </c>
      <c r="G27" s="91">
        <v>0.93</v>
      </c>
      <c r="H27" s="91">
        <v>1.99</v>
      </c>
      <c r="I27" s="91">
        <v>1.74</v>
      </c>
      <c r="J27" s="91">
        <v>1.47</v>
      </c>
      <c r="K27" s="91">
        <v>1.61</v>
      </c>
      <c r="L27" s="90">
        <v>1.74</v>
      </c>
      <c r="M27" s="90">
        <v>1.75</v>
      </c>
      <c r="N27" s="90">
        <v>1.88</v>
      </c>
      <c r="O27" s="90">
        <v>1.63</v>
      </c>
      <c r="P27" s="90">
        <v>1.9</v>
      </c>
      <c r="Q27" s="90">
        <v>2.17</v>
      </c>
      <c r="R27" s="90">
        <v>2.15</v>
      </c>
    </row>
    <row r="28" spans="1:18">
      <c r="A28" s="23"/>
      <c r="B28" s="23" t="s">
        <v>125</v>
      </c>
      <c r="C28" s="91">
        <v>23.79</v>
      </c>
      <c r="D28" s="91">
        <v>26.99</v>
      </c>
      <c r="E28" s="91">
        <v>35.42</v>
      </c>
      <c r="F28" s="91">
        <v>38.989999999999995</v>
      </c>
      <c r="G28" s="91">
        <v>38.1</v>
      </c>
      <c r="H28" s="91">
        <v>41.22</v>
      </c>
      <c r="I28" s="91">
        <v>42.150000000000006</v>
      </c>
      <c r="J28" s="91">
        <v>43.47</v>
      </c>
      <c r="K28" s="91">
        <v>44.95</v>
      </c>
      <c r="L28" s="90">
        <v>46.52</v>
      </c>
      <c r="M28" s="90">
        <v>46.650000000000006</v>
      </c>
      <c r="N28" s="90">
        <v>46.260000000000005</v>
      </c>
      <c r="O28" s="90">
        <v>47.05</v>
      </c>
      <c r="P28" s="90">
        <v>48.67</v>
      </c>
      <c r="Q28" s="90">
        <v>50.19</v>
      </c>
      <c r="R28" s="90">
        <v>50.75</v>
      </c>
    </row>
    <row r="29" spans="1:18">
      <c r="A29" s="23"/>
      <c r="B29" s="23"/>
      <c r="C29" s="23"/>
      <c r="D29" s="23"/>
      <c r="E29" s="23"/>
      <c r="F29" s="23"/>
      <c r="G29" s="23"/>
      <c r="H29" s="23"/>
      <c r="I29" s="23"/>
      <c r="J29" s="23"/>
      <c r="K29" s="23"/>
      <c r="L29" s="23"/>
      <c r="M29" s="23"/>
      <c r="N29" s="23"/>
      <c r="O29" s="23"/>
      <c r="P29" s="23"/>
      <c r="Q29" s="23"/>
      <c r="R29" s="23"/>
    </row>
    <row r="30" spans="1:18" ht="31.5" customHeight="1">
      <c r="A30" s="337" t="s">
        <v>124</v>
      </c>
      <c r="B30" s="337"/>
      <c r="C30" s="337"/>
      <c r="D30" s="337"/>
      <c r="E30" s="337"/>
      <c r="F30" s="337"/>
      <c r="G30" s="337"/>
      <c r="H30" s="337"/>
      <c r="I30" s="337"/>
      <c r="J30" s="337"/>
      <c r="K30" s="337"/>
      <c r="L30" s="337"/>
      <c r="M30" s="337"/>
      <c r="N30" s="337"/>
      <c r="O30" s="337"/>
      <c r="P30" s="337"/>
      <c r="Q30" s="337"/>
      <c r="R30" s="337"/>
    </row>
    <row r="31" spans="1:18" ht="25.5" customHeight="1">
      <c r="A31" s="329" t="s">
        <v>123</v>
      </c>
      <c r="B31" s="329"/>
      <c r="C31" s="329"/>
      <c r="D31" s="329"/>
      <c r="E31" s="329"/>
      <c r="F31" s="329"/>
      <c r="G31" s="329"/>
      <c r="H31" s="329"/>
      <c r="I31" s="329"/>
      <c r="J31" s="329"/>
      <c r="K31" s="329"/>
      <c r="L31" s="329"/>
      <c r="M31" s="329"/>
      <c r="N31" s="329"/>
      <c r="O31" s="329"/>
      <c r="P31" s="329"/>
      <c r="Q31" s="329"/>
      <c r="R31" s="329"/>
    </row>
    <row r="32" spans="1:18">
      <c r="A32" s="329"/>
      <c r="B32" s="329"/>
      <c r="C32" s="329"/>
      <c r="D32" s="329"/>
      <c r="E32" s="329"/>
      <c r="F32" s="329"/>
      <c r="G32" s="329"/>
      <c r="H32" s="329"/>
      <c r="I32" s="329"/>
      <c r="J32" s="329"/>
      <c r="K32" s="329"/>
      <c r="L32" s="329"/>
      <c r="M32" s="329"/>
      <c r="N32" s="329"/>
      <c r="O32" s="329"/>
      <c r="P32" s="329"/>
      <c r="Q32" s="329"/>
      <c r="R32" s="329"/>
    </row>
    <row r="33" spans="1:18">
      <c r="A33" s="329"/>
      <c r="B33" s="329"/>
      <c r="C33" s="329"/>
      <c r="D33" s="329"/>
      <c r="E33" s="329"/>
      <c r="F33" s="329"/>
      <c r="G33" s="329"/>
      <c r="H33" s="329"/>
      <c r="I33" s="329"/>
      <c r="J33" s="329"/>
      <c r="K33" s="329"/>
      <c r="L33" s="329"/>
      <c r="M33" s="329"/>
      <c r="N33" s="329"/>
      <c r="O33" s="329"/>
      <c r="P33" s="329"/>
      <c r="Q33" s="329"/>
      <c r="R33" s="329"/>
    </row>
    <row r="34" spans="1:18">
      <c r="A34" s="329"/>
      <c r="B34" s="329"/>
      <c r="C34" s="329"/>
      <c r="D34" s="329"/>
      <c r="E34" s="329"/>
      <c r="F34" s="329"/>
      <c r="G34" s="329"/>
      <c r="H34" s="329"/>
      <c r="I34" s="329"/>
      <c r="J34" s="329"/>
      <c r="K34" s="329"/>
      <c r="L34" s="329"/>
      <c r="M34" s="329"/>
      <c r="N34" s="329"/>
      <c r="O34" s="329"/>
      <c r="P34" s="329"/>
      <c r="Q34" s="329"/>
      <c r="R34" s="329"/>
    </row>
  </sheetData>
  <mergeCells count="2">
    <mergeCell ref="A30:R30"/>
    <mergeCell ref="A31:R34"/>
  </mergeCells>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2"/>
  <sheetViews>
    <sheetView workbookViewId="0">
      <selection activeCell="A3" sqref="A3"/>
    </sheetView>
  </sheetViews>
  <sheetFormatPr defaultColWidth="8.85546875" defaultRowHeight="15"/>
  <cols>
    <col min="1" max="1" width="14.28515625" customWidth="1"/>
    <col min="2" max="2" width="17.140625" customWidth="1"/>
    <col min="3" max="3" width="14.140625" customWidth="1"/>
    <col min="4" max="4" width="13.28515625" customWidth="1"/>
  </cols>
  <sheetData>
    <row r="2" spans="1:4">
      <c r="A2" s="1" t="s">
        <v>405</v>
      </c>
    </row>
    <row r="3" spans="1:4">
      <c r="A3" s="2" t="s">
        <v>229</v>
      </c>
    </row>
    <row r="4" spans="1:4">
      <c r="A4" s="1"/>
    </row>
    <row r="5" spans="1:4" ht="30">
      <c r="A5" s="21"/>
      <c r="B5" s="21"/>
      <c r="C5" s="135" t="s">
        <v>117</v>
      </c>
      <c r="D5" s="135" t="s">
        <v>118</v>
      </c>
    </row>
    <row r="6" spans="1:4" ht="45" customHeight="1">
      <c r="A6" s="21" t="s">
        <v>36</v>
      </c>
      <c r="B6" s="21" t="s">
        <v>119</v>
      </c>
      <c r="C6" s="338" t="s">
        <v>228</v>
      </c>
      <c r="D6" s="338"/>
    </row>
    <row r="7" spans="1:4">
      <c r="A7" s="21" t="s">
        <v>37</v>
      </c>
      <c r="B7" s="21" t="s">
        <v>8</v>
      </c>
      <c r="C7" s="21">
        <v>875</v>
      </c>
      <c r="D7" s="21">
        <v>375</v>
      </c>
    </row>
    <row r="8" spans="1:4">
      <c r="A8" s="21"/>
      <c r="B8" s="21" t="s">
        <v>9</v>
      </c>
      <c r="C8" s="21">
        <v>886</v>
      </c>
      <c r="D8" s="21">
        <v>376</v>
      </c>
    </row>
    <row r="9" spans="1:4">
      <c r="A9" s="21"/>
      <c r="B9" s="21" t="s">
        <v>10</v>
      </c>
      <c r="C9" s="21">
        <v>592</v>
      </c>
      <c r="D9" s="21">
        <v>292</v>
      </c>
    </row>
    <row r="10" spans="1:4">
      <c r="A10" s="21" t="s">
        <v>38</v>
      </c>
      <c r="B10" s="21" t="s">
        <v>8</v>
      </c>
      <c r="C10" s="21">
        <v>623</v>
      </c>
      <c r="D10" s="21">
        <v>257</v>
      </c>
    </row>
    <row r="11" spans="1:4">
      <c r="A11" s="21"/>
      <c r="B11" s="21" t="s">
        <v>9</v>
      </c>
      <c r="C11" s="21">
        <v>645</v>
      </c>
      <c r="D11" s="21">
        <v>299</v>
      </c>
    </row>
    <row r="12" spans="1:4">
      <c r="A12" s="21"/>
      <c r="B12" s="21" t="s">
        <v>10</v>
      </c>
      <c r="C12" s="21">
        <v>538</v>
      </c>
      <c r="D12" s="21">
        <v>224</v>
      </c>
    </row>
    <row r="13" spans="1:4">
      <c r="A13" s="21" t="s">
        <v>39</v>
      </c>
      <c r="B13" s="21" t="s">
        <v>8</v>
      </c>
      <c r="C13" s="21">
        <v>682</v>
      </c>
      <c r="D13" s="21">
        <v>279</v>
      </c>
    </row>
    <row r="14" spans="1:4">
      <c r="A14" s="21"/>
      <c r="B14" s="21" t="s">
        <v>9</v>
      </c>
      <c r="C14" s="21">
        <v>708</v>
      </c>
      <c r="D14" s="21">
        <v>312</v>
      </c>
    </row>
    <row r="15" spans="1:4">
      <c r="A15" s="21"/>
      <c r="B15" s="21" t="s">
        <v>10</v>
      </c>
      <c r="C15" s="21">
        <v>482</v>
      </c>
      <c r="D15" s="21">
        <v>166</v>
      </c>
    </row>
    <row r="16" spans="1:4">
      <c r="A16" s="21" t="s">
        <v>40</v>
      </c>
      <c r="B16" s="21" t="s">
        <v>8</v>
      </c>
      <c r="C16" s="21">
        <v>914</v>
      </c>
      <c r="D16" s="21">
        <v>362</v>
      </c>
    </row>
    <row r="17" spans="1:4">
      <c r="A17" s="21"/>
      <c r="B17" s="21" t="s">
        <v>9</v>
      </c>
      <c r="C17" s="21">
        <v>958</v>
      </c>
      <c r="D17" s="21">
        <v>405</v>
      </c>
    </row>
    <row r="18" spans="1:4">
      <c r="A18" s="21"/>
      <c r="B18" s="21" t="s">
        <v>10</v>
      </c>
      <c r="C18" s="21">
        <v>606</v>
      </c>
      <c r="D18" s="21">
        <v>294</v>
      </c>
    </row>
    <row r="19" spans="1:4">
      <c r="A19" s="21"/>
      <c r="B19" s="21" t="s">
        <v>7</v>
      </c>
      <c r="C19" s="134">
        <v>745.31333433820078</v>
      </c>
      <c r="D19" s="134">
        <v>311.54499808386726</v>
      </c>
    </row>
    <row r="21" spans="1:4">
      <c r="A21" t="s">
        <v>230</v>
      </c>
    </row>
    <row r="22" spans="1:4">
      <c r="A22" t="s">
        <v>231</v>
      </c>
    </row>
  </sheetData>
  <mergeCells count="1">
    <mergeCell ref="C6:D6"/>
  </mergeCells>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workbookViewId="0">
      <selection activeCell="A2" sqref="A2"/>
    </sheetView>
  </sheetViews>
  <sheetFormatPr defaultColWidth="8.85546875" defaultRowHeight="15"/>
  <cols>
    <col min="1" max="1" width="36.85546875" bestFit="1" customWidth="1"/>
  </cols>
  <sheetData>
    <row r="1" spans="1:8">
      <c r="A1" s="1" t="s">
        <v>406</v>
      </c>
      <c r="B1" s="13"/>
    </row>
    <row r="2" spans="1:8">
      <c r="A2" t="s">
        <v>53</v>
      </c>
      <c r="B2" s="13"/>
    </row>
    <row r="3" spans="1:8">
      <c r="B3" s="13"/>
    </row>
    <row r="4" spans="1:8">
      <c r="B4" s="138">
        <v>1999</v>
      </c>
      <c r="C4" s="138">
        <v>2001</v>
      </c>
      <c r="D4" s="138">
        <v>2003</v>
      </c>
      <c r="E4" s="138">
        <v>2005</v>
      </c>
      <c r="F4" s="138">
        <v>2007</v>
      </c>
      <c r="G4" s="138">
        <v>2009</v>
      </c>
      <c r="H4" s="138">
        <v>2011</v>
      </c>
    </row>
    <row r="5" spans="1:8">
      <c r="A5" s="139" t="s">
        <v>233</v>
      </c>
      <c r="B5" s="140"/>
      <c r="C5" s="81"/>
      <c r="D5" s="81"/>
      <c r="E5" s="81"/>
      <c r="F5" s="81"/>
      <c r="G5" s="81"/>
      <c r="H5" s="81"/>
    </row>
    <row r="6" spans="1:8">
      <c r="A6" t="s">
        <v>234</v>
      </c>
      <c r="B6" s="141">
        <v>8513</v>
      </c>
      <c r="C6" s="81">
        <v>8739</v>
      </c>
      <c r="D6" s="81">
        <v>9077</v>
      </c>
      <c r="E6" s="81">
        <v>9729</v>
      </c>
      <c r="F6" s="81">
        <v>9243</v>
      </c>
      <c r="G6" s="81">
        <v>9961</v>
      </c>
      <c r="H6" s="81">
        <v>11774</v>
      </c>
    </row>
    <row r="7" spans="1:8">
      <c r="A7" t="s">
        <v>235</v>
      </c>
      <c r="B7" s="141">
        <v>6683</v>
      </c>
      <c r="C7" s="81">
        <v>6870</v>
      </c>
      <c r="D7" s="81">
        <v>7098</v>
      </c>
      <c r="E7" s="81">
        <v>6747</v>
      </c>
      <c r="F7" s="81">
        <v>7280</v>
      </c>
      <c r="G7" s="81">
        <v>6265</v>
      </c>
      <c r="H7" s="81">
        <v>6854</v>
      </c>
    </row>
    <row r="8" spans="1:8">
      <c r="A8" t="s">
        <v>236</v>
      </c>
      <c r="B8" s="141">
        <v>3573</v>
      </c>
      <c r="C8" s="81">
        <v>3803</v>
      </c>
      <c r="D8" s="81">
        <v>3996</v>
      </c>
      <c r="E8" s="81">
        <v>3982</v>
      </c>
      <c r="F8" s="81">
        <v>4224</v>
      </c>
      <c r="G8" s="81">
        <v>3665</v>
      </c>
      <c r="H8" s="81">
        <v>4220</v>
      </c>
    </row>
    <row r="9" spans="1:8">
      <c r="A9" t="s">
        <v>237</v>
      </c>
      <c r="B9" s="141">
        <f>-1830*(-1)</f>
        <v>1830</v>
      </c>
      <c r="C9" s="81">
        <f>-1869*(-1)</f>
        <v>1869</v>
      </c>
      <c r="D9" s="81">
        <f>-1979*(-1)</f>
        <v>1979</v>
      </c>
      <c r="E9" s="81">
        <f>-2982*(-1)</f>
        <v>2982</v>
      </c>
      <c r="F9" s="81">
        <f>-1963*(-1)</f>
        <v>1963</v>
      </c>
      <c r="G9" s="81">
        <f>-3696*(-1)</f>
        <v>3696</v>
      </c>
      <c r="H9" s="81">
        <f>-4920*(-1)</f>
        <v>4920</v>
      </c>
    </row>
    <row r="10" spans="1:8">
      <c r="B10" s="141"/>
      <c r="C10" s="81"/>
      <c r="D10" s="81"/>
      <c r="E10" s="81"/>
      <c r="F10" s="81"/>
      <c r="G10" s="81"/>
      <c r="H10" s="81"/>
    </row>
    <row r="11" spans="1:8">
      <c r="A11" s="139" t="s">
        <v>238</v>
      </c>
      <c r="B11" s="141"/>
      <c r="C11" s="81"/>
      <c r="D11" s="81"/>
      <c r="E11" s="81"/>
      <c r="F11" s="81"/>
      <c r="G11" s="81"/>
      <c r="H11" s="81"/>
    </row>
    <row r="12" spans="1:8">
      <c r="A12" t="s">
        <v>234</v>
      </c>
      <c r="B12" s="141">
        <v>6243</v>
      </c>
      <c r="C12" s="81">
        <v>6315</v>
      </c>
      <c r="D12" s="81">
        <v>6581</v>
      </c>
      <c r="E12" s="81">
        <v>6342</v>
      </c>
      <c r="F12" s="81">
        <v>6697</v>
      </c>
      <c r="G12" s="81">
        <v>7157</v>
      </c>
      <c r="H12" s="81">
        <v>7492</v>
      </c>
    </row>
    <row r="13" spans="1:8">
      <c r="A13" t="s">
        <v>235</v>
      </c>
      <c r="B13" s="141">
        <v>12089</v>
      </c>
      <c r="C13" s="81">
        <v>12366</v>
      </c>
      <c r="D13" s="81">
        <v>12863</v>
      </c>
      <c r="E13" s="81">
        <v>12368</v>
      </c>
      <c r="F13" s="81">
        <v>11071</v>
      </c>
      <c r="G13" s="81">
        <v>10938</v>
      </c>
      <c r="H13" s="81">
        <v>10947</v>
      </c>
    </row>
    <row r="14" spans="1:8">
      <c r="A14" t="s">
        <v>236</v>
      </c>
      <c r="B14" s="141">
        <v>7905</v>
      </c>
      <c r="C14" s="81">
        <v>8132</v>
      </c>
      <c r="D14" s="81">
        <v>8744</v>
      </c>
      <c r="E14" s="81">
        <v>8549</v>
      </c>
      <c r="F14" s="81">
        <v>7786</v>
      </c>
      <c r="G14" s="81">
        <v>8045</v>
      </c>
      <c r="H14" s="81">
        <v>8225</v>
      </c>
    </row>
    <row r="15" spans="1:8">
      <c r="A15" t="s">
        <v>237</v>
      </c>
      <c r="B15" s="141">
        <f>5846*(-1)</f>
        <v>-5846</v>
      </c>
      <c r="C15" s="81">
        <f>6051*(-1)</f>
        <v>-6051</v>
      </c>
      <c r="D15" s="81">
        <f>6282*(-1)</f>
        <v>-6282</v>
      </c>
      <c r="E15" s="81">
        <f>6026*(-1)</f>
        <v>-6026</v>
      </c>
      <c r="F15" s="81">
        <f>4374*(-1)</f>
        <v>-4374</v>
      </c>
      <c r="G15" s="81">
        <f>3781*(-1)</f>
        <v>-3781</v>
      </c>
      <c r="H15" s="81">
        <f>3455*(-1)</f>
        <v>-3455</v>
      </c>
    </row>
    <row r="17" spans="1:16" ht="48" customHeight="1">
      <c r="A17" s="333" t="s">
        <v>261</v>
      </c>
      <c r="B17" s="333"/>
      <c r="C17" s="333"/>
      <c r="D17" s="333"/>
      <c r="E17" s="333"/>
      <c r="F17" s="333"/>
      <c r="G17" s="333"/>
      <c r="H17" s="333"/>
    </row>
    <row r="18" spans="1:16">
      <c r="A18" t="s">
        <v>260</v>
      </c>
    </row>
    <row r="23" spans="1:16">
      <c r="J23" s="81"/>
      <c r="K23" s="81"/>
      <c r="L23" s="81"/>
      <c r="M23" s="81"/>
      <c r="N23" s="81"/>
      <c r="O23" s="81"/>
      <c r="P23" s="81"/>
    </row>
    <row r="24" spans="1:16">
      <c r="J24" s="81"/>
      <c r="K24" s="81"/>
      <c r="L24" s="81"/>
      <c r="M24" s="81"/>
      <c r="N24" s="81"/>
      <c r="O24" s="81"/>
      <c r="P24" s="81"/>
    </row>
  </sheetData>
  <mergeCells count="1">
    <mergeCell ref="A17:H17"/>
  </mergeCells>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workbookViewId="0">
      <selection activeCell="A3" sqref="A3"/>
    </sheetView>
  </sheetViews>
  <sheetFormatPr defaultColWidth="8.85546875" defaultRowHeight="15"/>
  <cols>
    <col min="3" max="3" width="11.85546875" customWidth="1"/>
    <col min="4" max="4" width="10.85546875" customWidth="1"/>
    <col min="6" max="6" width="11" customWidth="1"/>
    <col min="8" max="8" width="10.28515625" customWidth="1"/>
    <col min="9" max="9" width="11.85546875" customWidth="1"/>
    <col min="11" max="11" width="12.42578125" customWidth="1"/>
  </cols>
  <sheetData>
    <row r="2" spans="1:11">
      <c r="A2" s="1" t="s">
        <v>407</v>
      </c>
    </row>
    <row r="3" spans="1:11">
      <c r="A3" t="s">
        <v>49</v>
      </c>
    </row>
    <row r="4" spans="1:11">
      <c r="A4" s="66"/>
      <c r="B4" s="339" t="s">
        <v>209</v>
      </c>
      <c r="C4" s="339"/>
      <c r="D4" s="339"/>
      <c r="E4" s="339"/>
      <c r="F4" s="339"/>
      <c r="G4" s="340" t="s">
        <v>210</v>
      </c>
      <c r="H4" s="340"/>
      <c r="I4" s="340"/>
      <c r="J4" s="340"/>
      <c r="K4" s="341"/>
    </row>
    <row r="5" spans="1:11" ht="45">
      <c r="A5" s="45" t="s">
        <v>211</v>
      </c>
      <c r="B5" s="45" t="s">
        <v>212</v>
      </c>
      <c r="C5" s="45" t="s">
        <v>213</v>
      </c>
      <c r="D5" s="45" t="s">
        <v>214</v>
      </c>
      <c r="E5" s="45" t="s">
        <v>215</v>
      </c>
      <c r="F5" s="45" t="s">
        <v>216</v>
      </c>
      <c r="G5" s="45" t="s">
        <v>212</v>
      </c>
      <c r="H5" s="45" t="s">
        <v>213</v>
      </c>
      <c r="I5" s="45" t="s">
        <v>214</v>
      </c>
      <c r="J5" s="45" t="s">
        <v>215</v>
      </c>
      <c r="K5" s="45" t="s">
        <v>216</v>
      </c>
    </row>
    <row r="6" spans="1:11">
      <c r="A6" s="129" t="s">
        <v>217</v>
      </c>
      <c r="B6" s="21">
        <v>4.79</v>
      </c>
      <c r="C6" s="21">
        <v>18.329999999999998</v>
      </c>
      <c r="D6" s="21">
        <v>19.77</v>
      </c>
      <c r="E6" s="21">
        <v>7.97</v>
      </c>
      <c r="F6" s="21">
        <v>14.3</v>
      </c>
      <c r="G6" s="21">
        <v>3.6</v>
      </c>
      <c r="H6" s="21">
        <v>7.73</v>
      </c>
      <c r="I6" s="129">
        <v>8.5</v>
      </c>
      <c r="J6" s="21">
        <v>1.8</v>
      </c>
      <c r="K6" s="21">
        <v>2.2599999999999998</v>
      </c>
    </row>
    <row r="7" spans="1:11" ht="30">
      <c r="A7" s="129" t="s">
        <v>121</v>
      </c>
      <c r="B7" s="21">
        <v>8.86</v>
      </c>
      <c r="C7" s="21">
        <v>20.54</v>
      </c>
      <c r="D7" s="21">
        <v>45.37</v>
      </c>
      <c r="E7" s="21">
        <v>10.14</v>
      </c>
      <c r="F7" s="21">
        <v>14.68</v>
      </c>
      <c r="G7" s="21">
        <v>5.6</v>
      </c>
      <c r="H7" s="21">
        <v>12.11</v>
      </c>
      <c r="I7" s="129">
        <v>33.799999999999997</v>
      </c>
      <c r="J7" s="21">
        <v>4.66</v>
      </c>
      <c r="K7" s="21">
        <v>5.37</v>
      </c>
    </row>
    <row r="8" spans="1:11" ht="30">
      <c r="A8" s="129" t="s">
        <v>122</v>
      </c>
      <c r="B8" s="21">
        <v>15.17</v>
      </c>
      <c r="C8" s="21">
        <v>22.81</v>
      </c>
      <c r="D8" s="21">
        <v>66.53</v>
      </c>
      <c r="E8" s="21">
        <v>15.5</v>
      </c>
      <c r="F8" s="21">
        <v>15.32</v>
      </c>
      <c r="G8" s="21">
        <v>7.34</v>
      </c>
      <c r="H8" s="21">
        <v>15.19</v>
      </c>
      <c r="I8" s="129">
        <v>46.07</v>
      </c>
      <c r="J8" s="21">
        <v>10.27</v>
      </c>
      <c r="K8" s="21">
        <v>8.5500000000000007</v>
      </c>
    </row>
    <row r="9" spans="1:11">
      <c r="A9" s="129" t="s">
        <v>218</v>
      </c>
      <c r="B9" s="21">
        <v>23.65</v>
      </c>
      <c r="C9" s="21">
        <v>29.79</v>
      </c>
      <c r="D9" s="21">
        <v>87.22</v>
      </c>
      <c r="E9" s="21">
        <v>34.520000000000003</v>
      </c>
      <c r="F9" s="21">
        <v>17.02</v>
      </c>
      <c r="G9" s="21">
        <v>16.39</v>
      </c>
      <c r="H9" s="21">
        <v>16.21</v>
      </c>
      <c r="I9" s="129">
        <v>71.459999999999994</v>
      </c>
      <c r="J9" s="21">
        <v>26.66</v>
      </c>
      <c r="K9" s="21">
        <v>14.48</v>
      </c>
    </row>
    <row r="10" spans="1:11">
      <c r="A10" s="130" t="s">
        <v>219</v>
      </c>
      <c r="B10" s="21">
        <v>15.02</v>
      </c>
      <c r="C10" s="21">
        <v>23.96</v>
      </c>
      <c r="D10" s="21">
        <v>61.69</v>
      </c>
      <c r="E10" s="21">
        <v>19.510000000000002</v>
      </c>
      <c r="F10" s="21">
        <v>15.59</v>
      </c>
      <c r="G10" s="131">
        <v>5.8</v>
      </c>
      <c r="H10" s="21">
        <v>10.93</v>
      </c>
      <c r="I10" s="129">
        <v>27.11</v>
      </c>
      <c r="J10" s="21">
        <v>5.99</v>
      </c>
      <c r="K10" s="132">
        <v>5.18</v>
      </c>
    </row>
    <row r="12" spans="1:11">
      <c r="A12" s="133" t="s">
        <v>259</v>
      </c>
    </row>
  </sheetData>
  <mergeCells count="2">
    <mergeCell ref="B4:F4"/>
    <mergeCell ref="G4:K4"/>
  </mergeCells>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46"/>
  <sheetViews>
    <sheetView workbookViewId="0">
      <selection activeCell="A3" sqref="A3"/>
    </sheetView>
  </sheetViews>
  <sheetFormatPr defaultColWidth="8.85546875" defaultRowHeight="15"/>
  <cols>
    <col min="1" max="1" width="11.28515625" customWidth="1"/>
    <col min="2" max="2" width="22.7109375" bestFit="1" customWidth="1"/>
    <col min="3" max="3" width="10.42578125" bestFit="1" customWidth="1"/>
    <col min="4" max="4" width="9.85546875" customWidth="1"/>
    <col min="5" max="5" width="9" customWidth="1"/>
    <col min="6" max="6" width="10.85546875" customWidth="1"/>
    <col min="7" max="7" width="10.42578125" bestFit="1" customWidth="1"/>
    <col min="8" max="8" width="11" customWidth="1"/>
    <col min="9" max="9" width="9.42578125" bestFit="1" customWidth="1"/>
    <col min="10" max="10" width="9.140625" customWidth="1"/>
    <col min="11" max="11" width="9" bestFit="1" customWidth="1"/>
    <col min="12" max="12" width="10.7109375" customWidth="1"/>
    <col min="13" max="14" width="9.140625" bestFit="1" customWidth="1"/>
    <col min="16" max="16" width="10.85546875" customWidth="1"/>
  </cols>
  <sheetData>
    <row r="2" spans="1:16">
      <c r="A2" s="1" t="s">
        <v>408</v>
      </c>
    </row>
    <row r="3" spans="1:16">
      <c r="A3" s="2" t="s">
        <v>229</v>
      </c>
    </row>
    <row r="4" spans="1:16">
      <c r="A4" s="21"/>
      <c r="B4" s="21"/>
      <c r="C4" s="334" t="s">
        <v>209</v>
      </c>
      <c r="D4" s="334"/>
      <c r="E4" s="334"/>
      <c r="F4" s="334"/>
      <c r="G4" s="334"/>
      <c r="H4" s="334"/>
      <c r="I4" s="334" t="s">
        <v>210</v>
      </c>
      <c r="J4" s="334"/>
      <c r="K4" s="334"/>
      <c r="L4" s="334"/>
      <c r="M4" s="334" t="s">
        <v>29</v>
      </c>
      <c r="N4" s="334"/>
      <c r="O4" s="334"/>
      <c r="P4" s="334"/>
    </row>
    <row r="5" spans="1:16">
      <c r="A5" s="21"/>
      <c r="B5" s="21"/>
      <c r="C5" s="21">
        <v>2007</v>
      </c>
      <c r="D5" s="21">
        <v>2010</v>
      </c>
      <c r="E5" s="21">
        <v>2007</v>
      </c>
      <c r="F5" s="21">
        <v>2010</v>
      </c>
      <c r="G5" s="21">
        <v>2007</v>
      </c>
      <c r="H5" s="21">
        <v>2010</v>
      </c>
      <c r="I5" s="21">
        <v>2007</v>
      </c>
      <c r="J5" s="21">
        <v>2010</v>
      </c>
      <c r="K5" s="21">
        <v>2007</v>
      </c>
      <c r="L5" s="21">
        <v>2010</v>
      </c>
      <c r="M5" s="21">
        <v>2007</v>
      </c>
      <c r="N5" s="21">
        <v>2010</v>
      </c>
      <c r="O5" s="21">
        <v>2007</v>
      </c>
      <c r="P5" s="21">
        <v>2010</v>
      </c>
    </row>
    <row r="6" spans="1:16">
      <c r="A6" s="19" t="s">
        <v>226</v>
      </c>
      <c r="B6" s="19" t="s">
        <v>211</v>
      </c>
      <c r="C6" s="19" t="s">
        <v>223</v>
      </c>
      <c r="D6" s="19"/>
      <c r="E6" s="343" t="s">
        <v>222</v>
      </c>
      <c r="F6" s="341"/>
      <c r="G6" s="334" t="s">
        <v>225</v>
      </c>
      <c r="H6" s="334"/>
      <c r="I6" s="19" t="s">
        <v>223</v>
      </c>
      <c r="J6" s="19"/>
      <c r="K6" s="334" t="s">
        <v>222</v>
      </c>
      <c r="L6" s="334"/>
      <c r="M6" s="19" t="s">
        <v>223</v>
      </c>
      <c r="N6" s="19"/>
      <c r="O6" s="334" t="s">
        <v>222</v>
      </c>
      <c r="P6" s="334"/>
    </row>
    <row r="7" spans="1:16">
      <c r="A7" s="21" t="s">
        <v>62</v>
      </c>
      <c r="B7" s="21" t="s">
        <v>27</v>
      </c>
      <c r="C7" s="136">
        <v>3144</v>
      </c>
      <c r="D7" s="136">
        <v>24100</v>
      </c>
      <c r="E7" s="136">
        <v>0</v>
      </c>
      <c r="F7" s="136">
        <v>100</v>
      </c>
      <c r="G7" s="20">
        <v>3143</v>
      </c>
      <c r="H7" s="20">
        <v>23000</v>
      </c>
      <c r="I7" s="20">
        <v>1792</v>
      </c>
      <c r="J7" s="20">
        <v>330</v>
      </c>
      <c r="K7" s="20">
        <v>419</v>
      </c>
      <c r="L7" s="20">
        <v>500</v>
      </c>
      <c r="M7" s="20">
        <v>1886</v>
      </c>
      <c r="N7" s="20">
        <v>800</v>
      </c>
      <c r="O7" s="20">
        <v>419</v>
      </c>
      <c r="P7" s="20">
        <v>500</v>
      </c>
    </row>
    <row r="8" spans="1:16">
      <c r="A8" s="21"/>
      <c r="B8" s="21" t="s">
        <v>121</v>
      </c>
      <c r="C8" s="136">
        <v>23992</v>
      </c>
      <c r="D8" s="136">
        <v>29600</v>
      </c>
      <c r="E8" s="136">
        <v>2095</v>
      </c>
      <c r="F8" s="136">
        <v>5200</v>
      </c>
      <c r="G8" s="20">
        <v>20954</v>
      </c>
      <c r="H8" s="20">
        <v>21000</v>
      </c>
      <c r="I8" s="20">
        <v>7512</v>
      </c>
      <c r="J8" s="20">
        <v>7280</v>
      </c>
      <c r="K8" s="20">
        <v>838</v>
      </c>
      <c r="L8" s="20">
        <v>1310</v>
      </c>
      <c r="M8" s="20">
        <v>7753</v>
      </c>
      <c r="N8" s="20">
        <v>9950</v>
      </c>
      <c r="O8" s="20">
        <v>901</v>
      </c>
      <c r="P8" s="20">
        <v>1500</v>
      </c>
    </row>
    <row r="9" spans="1:16">
      <c r="A9" s="21"/>
      <c r="B9" s="21" t="s">
        <v>122</v>
      </c>
      <c r="C9" s="136">
        <v>21917</v>
      </c>
      <c r="D9" s="136">
        <v>54000</v>
      </c>
      <c r="E9" s="136">
        <v>2095</v>
      </c>
      <c r="F9" s="136">
        <v>3900</v>
      </c>
      <c r="G9" s="20">
        <v>7334</v>
      </c>
      <c r="H9" s="20">
        <v>13000</v>
      </c>
      <c r="I9" s="20">
        <v>6632</v>
      </c>
      <c r="J9" s="20">
        <v>15950</v>
      </c>
      <c r="K9" s="20">
        <v>3457</v>
      </c>
      <c r="L9" s="20">
        <v>6000</v>
      </c>
      <c r="M9" s="20">
        <v>10005</v>
      </c>
      <c r="N9" s="20">
        <v>29200</v>
      </c>
      <c r="O9" s="20">
        <v>3374</v>
      </c>
      <c r="P9" s="20">
        <v>4300</v>
      </c>
    </row>
    <row r="10" spans="1:16">
      <c r="A10" s="21"/>
      <c r="B10" s="21" t="s">
        <v>218</v>
      </c>
      <c r="C10" s="136">
        <v>9734111</v>
      </c>
      <c r="D10" s="136">
        <v>204000</v>
      </c>
      <c r="E10" s="136">
        <v>152961</v>
      </c>
      <c r="F10" s="136">
        <v>24500</v>
      </c>
      <c r="G10" s="20">
        <v>2095363</v>
      </c>
      <c r="H10" s="20">
        <v>8000</v>
      </c>
      <c r="I10" s="20">
        <v>13871</v>
      </c>
      <c r="J10" s="20">
        <v>8040</v>
      </c>
      <c r="K10" s="20">
        <v>19382</v>
      </c>
      <c r="L10" s="20">
        <v>9400</v>
      </c>
      <c r="M10" s="20">
        <v>9733388</v>
      </c>
      <c r="N10" s="20">
        <v>38060</v>
      </c>
      <c r="O10" s="20">
        <v>152961</v>
      </c>
      <c r="P10" s="20">
        <v>9870</v>
      </c>
    </row>
    <row r="11" spans="1:16">
      <c r="A11" s="21"/>
      <c r="B11" s="21" t="s">
        <v>125</v>
      </c>
      <c r="C11" s="136">
        <v>23887</v>
      </c>
      <c r="D11" s="136">
        <v>36450</v>
      </c>
      <c r="E11" s="136">
        <v>2095</v>
      </c>
      <c r="F11" s="136">
        <v>3000</v>
      </c>
      <c r="G11" s="20">
        <v>12572</v>
      </c>
      <c r="H11" s="20">
        <v>20000</v>
      </c>
      <c r="I11" s="20">
        <v>3143</v>
      </c>
      <c r="J11" s="20">
        <v>2090</v>
      </c>
      <c r="K11" s="20">
        <v>733</v>
      </c>
      <c r="L11" s="20">
        <v>786</v>
      </c>
      <c r="M11" s="20">
        <v>4191</v>
      </c>
      <c r="N11" s="20">
        <v>3530</v>
      </c>
      <c r="O11" s="20">
        <v>786</v>
      </c>
      <c r="P11" s="20">
        <v>910</v>
      </c>
    </row>
    <row r="12" spans="1:16">
      <c r="A12" s="21" t="s">
        <v>120</v>
      </c>
      <c r="B12" s="21" t="s">
        <v>217</v>
      </c>
      <c r="C12" s="136">
        <v>45050</v>
      </c>
      <c r="D12" s="136">
        <v>13300</v>
      </c>
      <c r="E12" s="136">
        <v>419</v>
      </c>
      <c r="F12" s="136">
        <v>500</v>
      </c>
      <c r="G12" s="20">
        <v>26192</v>
      </c>
      <c r="H12" s="20">
        <v>13000</v>
      </c>
      <c r="I12" s="20">
        <v>1886</v>
      </c>
      <c r="J12" s="20">
        <v>1300</v>
      </c>
      <c r="K12" s="20">
        <v>26</v>
      </c>
      <c r="L12" s="20">
        <v>105</v>
      </c>
      <c r="M12" s="20">
        <v>4285</v>
      </c>
      <c r="N12" s="20">
        <v>1870</v>
      </c>
      <c r="O12" s="20">
        <v>73</v>
      </c>
      <c r="P12" s="20">
        <v>150</v>
      </c>
    </row>
    <row r="13" spans="1:16">
      <c r="A13" s="21"/>
      <c r="B13" s="21" t="s">
        <v>121</v>
      </c>
      <c r="C13" s="136">
        <v>46622</v>
      </c>
      <c r="D13" s="136">
        <v>26210</v>
      </c>
      <c r="E13" s="136">
        <v>733</v>
      </c>
      <c r="F13" s="136">
        <v>2000</v>
      </c>
      <c r="G13" s="20">
        <v>20954</v>
      </c>
      <c r="H13" s="20">
        <v>10000</v>
      </c>
      <c r="I13" s="20">
        <v>5532</v>
      </c>
      <c r="J13" s="20">
        <v>5610</v>
      </c>
      <c r="K13" s="20">
        <v>1048</v>
      </c>
      <c r="L13" s="20">
        <v>1005</v>
      </c>
      <c r="M13" s="20">
        <v>10110</v>
      </c>
      <c r="N13" s="20">
        <v>9300</v>
      </c>
      <c r="O13" s="20">
        <v>1048</v>
      </c>
      <c r="P13" s="20">
        <v>1300</v>
      </c>
    </row>
    <row r="14" spans="1:16">
      <c r="A14" s="21"/>
      <c r="B14" s="21" t="s">
        <v>122</v>
      </c>
      <c r="C14" s="136">
        <v>75129</v>
      </c>
      <c r="D14" s="136">
        <v>45850</v>
      </c>
      <c r="E14" s="136">
        <v>4191</v>
      </c>
      <c r="F14" s="136">
        <v>4500</v>
      </c>
      <c r="G14" s="20">
        <v>36669</v>
      </c>
      <c r="H14" s="20">
        <v>16400</v>
      </c>
      <c r="I14" s="20">
        <v>11734</v>
      </c>
      <c r="J14" s="20">
        <v>10300</v>
      </c>
      <c r="K14" s="20">
        <v>3185</v>
      </c>
      <c r="L14" s="20">
        <v>2810</v>
      </c>
      <c r="M14" s="20">
        <v>40860</v>
      </c>
      <c r="N14" s="20">
        <v>28300</v>
      </c>
      <c r="O14" s="20">
        <v>3950</v>
      </c>
      <c r="P14" s="20">
        <v>3450</v>
      </c>
    </row>
    <row r="15" spans="1:16">
      <c r="A15" s="21"/>
      <c r="B15" s="21" t="s">
        <v>28</v>
      </c>
      <c r="C15" s="136">
        <v>220013</v>
      </c>
      <c r="D15" s="136">
        <v>88300</v>
      </c>
      <c r="E15" s="136">
        <v>12687</v>
      </c>
      <c r="F15" s="136">
        <v>11300</v>
      </c>
      <c r="G15" s="20">
        <v>92196</v>
      </c>
      <c r="H15" s="20">
        <v>35000</v>
      </c>
      <c r="I15" s="20">
        <v>114826</v>
      </c>
      <c r="J15" s="20">
        <v>52200</v>
      </c>
      <c r="K15" s="20">
        <v>25563</v>
      </c>
      <c r="L15" s="20">
        <v>15200</v>
      </c>
      <c r="M15" s="20">
        <v>199688</v>
      </c>
      <c r="N15" s="20">
        <v>79300</v>
      </c>
      <c r="O15" s="20">
        <v>14458</v>
      </c>
      <c r="P15" s="20">
        <v>12200</v>
      </c>
    </row>
    <row r="16" spans="1:16">
      <c r="A16" s="21"/>
      <c r="B16" s="21" t="s">
        <v>125</v>
      </c>
      <c r="C16" s="136">
        <v>87324</v>
      </c>
      <c r="D16" s="136">
        <v>49500</v>
      </c>
      <c r="E16" s="136">
        <v>4243</v>
      </c>
      <c r="F16" s="136">
        <v>3820</v>
      </c>
      <c r="G16" s="20">
        <v>38764</v>
      </c>
      <c r="H16" s="20">
        <v>20000</v>
      </c>
      <c r="I16" s="20">
        <v>5783</v>
      </c>
      <c r="J16" s="20">
        <v>5210</v>
      </c>
      <c r="K16" s="20">
        <v>1048</v>
      </c>
      <c r="L16" s="20">
        <v>1000</v>
      </c>
      <c r="M16" s="20">
        <v>21436</v>
      </c>
      <c r="N16" s="20">
        <v>12800</v>
      </c>
      <c r="O16" s="20">
        <v>2567</v>
      </c>
      <c r="P16" s="20">
        <v>2005</v>
      </c>
    </row>
    <row r="17" spans="1:16">
      <c r="A17" s="21" t="s">
        <v>93</v>
      </c>
      <c r="B17" s="21" t="s">
        <v>217</v>
      </c>
      <c r="C17" s="136">
        <v>26433</v>
      </c>
      <c r="D17" s="136">
        <v>48280</v>
      </c>
      <c r="E17" s="136">
        <v>419</v>
      </c>
      <c r="F17" s="136">
        <v>130</v>
      </c>
      <c r="G17" s="20">
        <v>20954</v>
      </c>
      <c r="H17" s="20">
        <v>30000</v>
      </c>
      <c r="I17" s="20">
        <v>629</v>
      </c>
      <c r="J17" s="20">
        <v>270</v>
      </c>
      <c r="K17" s="20">
        <v>42</v>
      </c>
      <c r="L17" s="20">
        <v>50</v>
      </c>
      <c r="M17" s="20">
        <v>3457</v>
      </c>
      <c r="N17" s="20">
        <v>5200</v>
      </c>
      <c r="O17" s="20">
        <v>84</v>
      </c>
      <c r="P17" s="20">
        <v>75</v>
      </c>
    </row>
    <row r="18" spans="1:16">
      <c r="A18" s="21"/>
      <c r="B18" s="21" t="s">
        <v>121</v>
      </c>
      <c r="C18" s="136">
        <v>71871</v>
      </c>
      <c r="D18" s="136">
        <v>48820</v>
      </c>
      <c r="E18" s="136">
        <v>1729</v>
      </c>
      <c r="F18" s="136">
        <v>1000</v>
      </c>
      <c r="G18" s="20">
        <v>38764</v>
      </c>
      <c r="H18" s="20">
        <v>25000</v>
      </c>
      <c r="I18" s="20">
        <v>8905</v>
      </c>
      <c r="J18" s="20">
        <v>5500</v>
      </c>
      <c r="K18" s="20">
        <v>733</v>
      </c>
      <c r="L18" s="20">
        <v>300</v>
      </c>
      <c r="M18" s="20">
        <v>28916</v>
      </c>
      <c r="N18" s="20">
        <v>13630</v>
      </c>
      <c r="O18" s="20">
        <v>1037</v>
      </c>
      <c r="P18" s="20">
        <v>605</v>
      </c>
    </row>
    <row r="19" spans="1:16">
      <c r="A19" s="21"/>
      <c r="B19" s="21" t="s">
        <v>122</v>
      </c>
      <c r="C19" s="136">
        <v>141018</v>
      </c>
      <c r="D19" s="136">
        <v>69700</v>
      </c>
      <c r="E19" s="136">
        <v>4044</v>
      </c>
      <c r="F19" s="136">
        <v>3050</v>
      </c>
      <c r="G19" s="20">
        <v>62861</v>
      </c>
      <c r="H19" s="20">
        <v>27000</v>
      </c>
      <c r="I19" s="20">
        <v>16134</v>
      </c>
      <c r="J19" s="20">
        <v>13290</v>
      </c>
      <c r="K19" s="20">
        <v>2829</v>
      </c>
      <c r="L19" s="20">
        <v>1700</v>
      </c>
      <c r="M19" s="20">
        <v>112070</v>
      </c>
      <c r="N19" s="20">
        <v>49740</v>
      </c>
      <c r="O19" s="20">
        <v>3719</v>
      </c>
      <c r="P19" s="20">
        <v>2500</v>
      </c>
    </row>
    <row r="20" spans="1:16">
      <c r="A20" s="21"/>
      <c r="B20" s="21" t="s">
        <v>218</v>
      </c>
      <c r="C20" s="136">
        <v>358307</v>
      </c>
      <c r="D20" s="136">
        <v>225600</v>
      </c>
      <c r="E20" s="136">
        <v>15715</v>
      </c>
      <c r="F20" s="136">
        <v>10570</v>
      </c>
      <c r="G20" s="20">
        <v>137246</v>
      </c>
      <c r="H20" s="20">
        <v>65000</v>
      </c>
      <c r="I20" s="20">
        <v>160023</v>
      </c>
      <c r="J20" s="20">
        <v>95540</v>
      </c>
      <c r="K20" s="20">
        <v>12572</v>
      </c>
      <c r="L20" s="20">
        <v>8410</v>
      </c>
      <c r="M20" s="20">
        <v>351811</v>
      </c>
      <c r="N20" s="20">
        <v>199830</v>
      </c>
      <c r="O20" s="20">
        <v>15191</v>
      </c>
      <c r="P20" s="20">
        <v>10500</v>
      </c>
    </row>
    <row r="21" spans="1:16">
      <c r="A21" s="21"/>
      <c r="B21" s="21" t="s">
        <v>125</v>
      </c>
      <c r="C21" s="136">
        <v>179195</v>
      </c>
      <c r="D21" s="136">
        <v>83760</v>
      </c>
      <c r="E21" s="136">
        <v>5238</v>
      </c>
      <c r="F21" s="136">
        <v>3900</v>
      </c>
      <c r="G21" s="20">
        <v>80671</v>
      </c>
      <c r="H21" s="20">
        <v>39000</v>
      </c>
      <c r="I21" s="20">
        <v>5113</v>
      </c>
      <c r="J21" s="20">
        <v>5600</v>
      </c>
      <c r="K21" s="20">
        <v>650</v>
      </c>
      <c r="L21" s="20">
        <v>500</v>
      </c>
      <c r="M21" s="20">
        <v>92877</v>
      </c>
      <c r="N21" s="20">
        <v>42361</v>
      </c>
      <c r="O21" s="20">
        <v>3122</v>
      </c>
      <c r="P21" s="20">
        <v>2000</v>
      </c>
    </row>
    <row r="22" spans="1:16">
      <c r="A22" s="21" t="s">
        <v>94</v>
      </c>
      <c r="B22" s="21" t="s">
        <v>27</v>
      </c>
      <c r="C22" s="136">
        <v>69409</v>
      </c>
      <c r="D22" s="136">
        <v>69100</v>
      </c>
      <c r="E22" s="136">
        <v>199</v>
      </c>
      <c r="F22" s="136">
        <v>200</v>
      </c>
      <c r="G22" s="20">
        <v>58670</v>
      </c>
      <c r="H22" s="20">
        <v>53000</v>
      </c>
      <c r="I22" s="20">
        <v>461</v>
      </c>
      <c r="J22" s="20">
        <v>1900</v>
      </c>
      <c r="K22" s="20">
        <v>0</v>
      </c>
      <c r="L22" s="20">
        <v>20</v>
      </c>
      <c r="M22" s="20">
        <v>9628</v>
      </c>
      <c r="N22" s="20">
        <v>10000</v>
      </c>
      <c r="O22" s="20">
        <v>42</v>
      </c>
      <c r="P22" s="20">
        <v>70</v>
      </c>
    </row>
    <row r="23" spans="1:16">
      <c r="A23" s="21"/>
      <c r="B23" s="21" t="s">
        <v>121</v>
      </c>
      <c r="C23" s="136">
        <v>101646</v>
      </c>
      <c r="D23" s="136">
        <v>84000</v>
      </c>
      <c r="E23" s="136">
        <v>1572</v>
      </c>
      <c r="F23" s="136">
        <v>1640</v>
      </c>
      <c r="G23" s="20">
        <v>72290</v>
      </c>
      <c r="H23" s="20">
        <v>50000</v>
      </c>
      <c r="I23" s="20">
        <v>7208</v>
      </c>
      <c r="J23" s="20">
        <v>9090</v>
      </c>
      <c r="K23" s="20">
        <v>880</v>
      </c>
      <c r="L23" s="20">
        <v>600</v>
      </c>
      <c r="M23" s="20">
        <v>67167</v>
      </c>
      <c r="N23" s="20">
        <v>37300</v>
      </c>
      <c r="O23" s="20">
        <v>1152</v>
      </c>
      <c r="P23" s="20">
        <v>1200</v>
      </c>
    </row>
    <row r="24" spans="1:16">
      <c r="A24" s="21"/>
      <c r="B24" s="21" t="s">
        <v>122</v>
      </c>
      <c r="C24" s="136">
        <v>241648</v>
      </c>
      <c r="D24" s="136">
        <v>131632</v>
      </c>
      <c r="E24" s="136">
        <v>4683</v>
      </c>
      <c r="F24" s="136">
        <v>3500</v>
      </c>
      <c r="G24" s="20">
        <v>108959</v>
      </c>
      <c r="H24" s="20">
        <v>57000</v>
      </c>
      <c r="I24" s="20">
        <v>25176</v>
      </c>
      <c r="J24" s="20">
        <v>16290</v>
      </c>
      <c r="K24" s="20">
        <v>1802</v>
      </c>
      <c r="L24" s="20">
        <v>2000</v>
      </c>
      <c r="M24" s="20">
        <v>188614</v>
      </c>
      <c r="N24" s="20">
        <v>106950</v>
      </c>
      <c r="O24" s="20">
        <v>3981</v>
      </c>
      <c r="P24" s="20">
        <v>3100</v>
      </c>
    </row>
    <row r="25" spans="1:16">
      <c r="A25" s="21"/>
      <c r="B25" s="21" t="s">
        <v>28</v>
      </c>
      <c r="C25" s="136">
        <v>589373</v>
      </c>
      <c r="D25" s="136">
        <v>506050</v>
      </c>
      <c r="E25" s="136">
        <v>20011</v>
      </c>
      <c r="F25" s="136">
        <v>18200</v>
      </c>
      <c r="G25" s="20">
        <v>209536</v>
      </c>
      <c r="H25" s="20">
        <v>153000</v>
      </c>
      <c r="I25" s="20">
        <v>141123</v>
      </c>
      <c r="J25" s="20">
        <v>61520</v>
      </c>
      <c r="K25" s="20">
        <v>5762</v>
      </c>
      <c r="L25" s="20">
        <v>4700</v>
      </c>
      <c r="M25" s="20">
        <v>543893</v>
      </c>
      <c r="N25" s="20">
        <v>457600</v>
      </c>
      <c r="O25" s="20">
        <v>19906</v>
      </c>
      <c r="P25" s="20">
        <v>17000</v>
      </c>
    </row>
    <row r="26" spans="1:16">
      <c r="A26" s="21"/>
      <c r="B26" s="21" t="s">
        <v>125</v>
      </c>
      <c r="C26" s="136">
        <v>284875</v>
      </c>
      <c r="D26" s="136">
        <v>194170</v>
      </c>
      <c r="E26" s="136">
        <v>7334</v>
      </c>
      <c r="F26" s="136">
        <v>5600</v>
      </c>
      <c r="G26" s="20">
        <v>125722</v>
      </c>
      <c r="H26" s="20">
        <v>78000</v>
      </c>
      <c r="I26" s="20">
        <v>7648</v>
      </c>
      <c r="J26" s="20">
        <v>6200</v>
      </c>
      <c r="K26" s="20">
        <v>629</v>
      </c>
      <c r="L26" s="20">
        <v>400</v>
      </c>
      <c r="M26" s="20">
        <v>193822</v>
      </c>
      <c r="N26" s="20">
        <v>117150</v>
      </c>
      <c r="O26" s="20">
        <v>4526</v>
      </c>
      <c r="P26" s="20">
        <v>3050</v>
      </c>
    </row>
    <row r="27" spans="1:16">
      <c r="A27" s="21" t="s">
        <v>95</v>
      </c>
      <c r="B27" s="21" t="s">
        <v>217</v>
      </c>
      <c r="C27" s="136">
        <v>108121</v>
      </c>
      <c r="D27" s="136">
        <v>101000</v>
      </c>
      <c r="E27" s="136">
        <v>1048</v>
      </c>
      <c r="F27" s="136">
        <v>900</v>
      </c>
      <c r="G27" s="20">
        <v>72290</v>
      </c>
      <c r="H27" s="20">
        <v>70000</v>
      </c>
      <c r="I27" s="20">
        <v>2200</v>
      </c>
      <c r="J27" s="20">
        <v>2100</v>
      </c>
      <c r="K27" s="20">
        <v>126</v>
      </c>
      <c r="L27" s="20">
        <v>200</v>
      </c>
      <c r="M27" s="20">
        <v>41687</v>
      </c>
      <c r="N27" s="20">
        <v>15800</v>
      </c>
      <c r="O27" s="20">
        <v>513</v>
      </c>
      <c r="P27" s="20">
        <v>350</v>
      </c>
    </row>
    <row r="28" spans="1:16">
      <c r="A28" s="21"/>
      <c r="B28" s="21" t="s">
        <v>121</v>
      </c>
      <c r="C28" s="136">
        <v>191307</v>
      </c>
      <c r="D28" s="136">
        <v>143900</v>
      </c>
      <c r="E28" s="136">
        <v>3143</v>
      </c>
      <c r="F28" s="136">
        <v>3200</v>
      </c>
      <c r="G28" s="20">
        <v>89053</v>
      </c>
      <c r="H28" s="20">
        <v>70300</v>
      </c>
      <c r="I28" s="20">
        <v>8444</v>
      </c>
      <c r="J28" s="20">
        <v>8980</v>
      </c>
      <c r="K28" s="20">
        <v>1048</v>
      </c>
      <c r="L28" s="20">
        <v>900</v>
      </c>
      <c r="M28" s="20">
        <v>135811</v>
      </c>
      <c r="N28" s="20">
        <v>89280</v>
      </c>
      <c r="O28" s="20">
        <v>2609</v>
      </c>
      <c r="P28" s="20">
        <v>2000</v>
      </c>
    </row>
    <row r="29" spans="1:16">
      <c r="A29" s="21"/>
      <c r="B29" s="21" t="s">
        <v>122</v>
      </c>
      <c r="C29" s="136">
        <v>332744</v>
      </c>
      <c r="D29" s="136">
        <v>209410</v>
      </c>
      <c r="E29" s="136">
        <v>9429</v>
      </c>
      <c r="F29" s="136">
        <v>5800</v>
      </c>
      <c r="G29" s="20">
        <v>139342</v>
      </c>
      <c r="H29" s="20">
        <v>86500</v>
      </c>
      <c r="I29" s="20">
        <v>33211</v>
      </c>
      <c r="J29" s="20">
        <v>21700</v>
      </c>
      <c r="K29" s="20">
        <v>4191</v>
      </c>
      <c r="L29" s="20">
        <v>3000</v>
      </c>
      <c r="M29" s="20">
        <v>317447</v>
      </c>
      <c r="N29" s="20">
        <v>188150</v>
      </c>
      <c r="O29" s="20">
        <v>8643</v>
      </c>
      <c r="P29" s="20">
        <v>5000</v>
      </c>
    </row>
    <row r="30" spans="1:16">
      <c r="A30" s="21"/>
      <c r="B30" s="21" t="s">
        <v>218</v>
      </c>
      <c r="C30" s="136">
        <v>798197</v>
      </c>
      <c r="D30" s="136">
        <v>814200</v>
      </c>
      <c r="E30" s="136">
        <v>28801</v>
      </c>
      <c r="F30" s="136">
        <v>25000</v>
      </c>
      <c r="G30" s="20">
        <v>240967</v>
      </c>
      <c r="H30" s="20">
        <v>200000</v>
      </c>
      <c r="I30" s="20">
        <v>372346</v>
      </c>
      <c r="J30" s="20">
        <v>118000</v>
      </c>
      <c r="K30" s="20">
        <v>41907</v>
      </c>
      <c r="L30" s="20">
        <v>6000</v>
      </c>
      <c r="M30" s="20">
        <v>784682</v>
      </c>
      <c r="N30" s="20">
        <v>768300</v>
      </c>
      <c r="O30" s="20">
        <v>28811</v>
      </c>
      <c r="P30" s="20">
        <v>23400</v>
      </c>
    </row>
    <row r="31" spans="1:16">
      <c r="A31" s="21"/>
      <c r="B31" s="21" t="s">
        <v>125</v>
      </c>
      <c r="C31" s="136">
        <v>344687</v>
      </c>
      <c r="D31" s="136">
        <v>277590</v>
      </c>
      <c r="E31" s="136">
        <v>9220</v>
      </c>
      <c r="F31" s="136">
        <v>9000</v>
      </c>
      <c r="G31" s="20">
        <v>146675</v>
      </c>
      <c r="H31" s="20">
        <v>103300</v>
      </c>
      <c r="I31" s="20">
        <v>5951</v>
      </c>
      <c r="J31" s="20">
        <v>6100</v>
      </c>
      <c r="K31" s="20">
        <v>576</v>
      </c>
      <c r="L31" s="20">
        <v>500</v>
      </c>
      <c r="M31" s="20">
        <v>265797</v>
      </c>
      <c r="N31" s="20">
        <v>178700</v>
      </c>
      <c r="O31" s="20">
        <v>6286</v>
      </c>
      <c r="P31" s="20">
        <v>5000</v>
      </c>
    </row>
    <row r="32" spans="1:16">
      <c r="A32" s="21" t="s">
        <v>224</v>
      </c>
      <c r="B32" s="21" t="s">
        <v>244</v>
      </c>
      <c r="C32" s="136">
        <v>165743</v>
      </c>
      <c r="D32" s="136">
        <v>117900</v>
      </c>
      <c r="E32" s="136">
        <v>3950</v>
      </c>
      <c r="F32" s="136">
        <v>3700</v>
      </c>
      <c r="G32" s="20">
        <v>104768</v>
      </c>
      <c r="H32" s="20">
        <v>80000</v>
      </c>
      <c r="I32" s="20">
        <v>2074</v>
      </c>
      <c r="J32" s="20">
        <v>1790</v>
      </c>
      <c r="K32" s="20">
        <v>314</v>
      </c>
      <c r="L32" s="20">
        <v>220</v>
      </c>
      <c r="M32" s="20">
        <v>105502</v>
      </c>
      <c r="N32" s="20">
        <v>60700</v>
      </c>
      <c r="O32" s="20">
        <v>1572</v>
      </c>
      <c r="P32" s="20">
        <v>1140</v>
      </c>
    </row>
    <row r="33" spans="1:16">
      <c r="A33" s="21"/>
      <c r="B33" s="21" t="s">
        <v>121</v>
      </c>
      <c r="C33" s="136">
        <v>260558</v>
      </c>
      <c r="D33" s="136">
        <v>220900</v>
      </c>
      <c r="E33" s="136">
        <v>12886</v>
      </c>
      <c r="F33" s="136">
        <v>7100</v>
      </c>
      <c r="G33" s="20">
        <v>146675</v>
      </c>
      <c r="H33" s="20">
        <v>119000</v>
      </c>
      <c r="I33" s="20">
        <v>39393</v>
      </c>
      <c r="J33" s="20">
        <v>13700</v>
      </c>
      <c r="K33" s="20">
        <v>13620</v>
      </c>
      <c r="L33" s="20">
        <v>1900</v>
      </c>
      <c r="M33" s="20">
        <v>248300</v>
      </c>
      <c r="N33" s="20">
        <v>201200</v>
      </c>
      <c r="O33" s="20">
        <v>12886</v>
      </c>
      <c r="P33" s="20">
        <v>6300</v>
      </c>
    </row>
    <row r="34" spans="1:16">
      <c r="A34" s="21"/>
      <c r="B34" s="21" t="s">
        <v>122</v>
      </c>
      <c r="C34" s="136">
        <v>518403</v>
      </c>
      <c r="D34" s="136">
        <v>401700</v>
      </c>
      <c r="E34" s="136">
        <v>23363</v>
      </c>
      <c r="F34" s="136">
        <v>20900</v>
      </c>
      <c r="G34" s="20">
        <v>183344</v>
      </c>
      <c r="H34" s="20">
        <v>150000</v>
      </c>
      <c r="I34" s="20">
        <v>258358</v>
      </c>
      <c r="J34" s="20">
        <v>122920</v>
      </c>
      <c r="K34" s="20">
        <v>18334</v>
      </c>
      <c r="L34" s="20">
        <v>23000</v>
      </c>
      <c r="M34" s="20">
        <v>487486</v>
      </c>
      <c r="N34" s="20">
        <v>361900</v>
      </c>
      <c r="O34" s="20">
        <v>23363</v>
      </c>
      <c r="P34" s="20">
        <v>21500</v>
      </c>
    </row>
    <row r="35" spans="1:16">
      <c r="A35" s="21"/>
      <c r="B35" s="21" t="s">
        <v>218</v>
      </c>
      <c r="C35" s="136">
        <v>1212167</v>
      </c>
      <c r="D35" s="136">
        <v>1077800</v>
      </c>
      <c r="E35" s="136">
        <v>49451</v>
      </c>
      <c r="F35" s="136">
        <v>42000</v>
      </c>
      <c r="G35" s="20">
        <v>419073</v>
      </c>
      <c r="H35" s="20">
        <v>262000</v>
      </c>
      <c r="I35" s="20">
        <v>286803</v>
      </c>
      <c r="J35" s="20">
        <v>259500</v>
      </c>
      <c r="K35" s="20">
        <v>4191</v>
      </c>
      <c r="L35" s="20">
        <v>22500</v>
      </c>
      <c r="M35" s="20">
        <v>1193309</v>
      </c>
      <c r="N35" s="20">
        <v>1043000</v>
      </c>
      <c r="O35" s="20">
        <v>47146</v>
      </c>
      <c r="P35" s="20">
        <v>40000</v>
      </c>
    </row>
    <row r="36" spans="1:16">
      <c r="A36" s="21"/>
      <c r="B36" s="21" t="s">
        <v>125</v>
      </c>
      <c r="C36" s="136">
        <v>293351</v>
      </c>
      <c r="D36" s="136">
        <v>272700</v>
      </c>
      <c r="E36" s="136">
        <v>15715</v>
      </c>
      <c r="F36" s="136">
        <v>11400</v>
      </c>
      <c r="G36" s="20">
        <v>156105</v>
      </c>
      <c r="H36" s="20">
        <v>125000</v>
      </c>
      <c r="I36" s="20">
        <v>5553</v>
      </c>
      <c r="J36" s="20">
        <v>5150</v>
      </c>
      <c r="K36" s="20">
        <v>1258</v>
      </c>
      <c r="L36" s="20">
        <v>700</v>
      </c>
      <c r="M36" s="20">
        <v>231328</v>
      </c>
      <c r="N36" s="20">
        <v>212400</v>
      </c>
      <c r="O36" s="20">
        <v>10906</v>
      </c>
      <c r="P36" s="20">
        <v>8200</v>
      </c>
    </row>
    <row r="37" spans="1:16">
      <c r="A37" s="21" t="s">
        <v>125</v>
      </c>
      <c r="B37" s="21" t="s">
        <v>27</v>
      </c>
      <c r="C37" s="136">
        <v>125407</v>
      </c>
      <c r="D37" s="136">
        <v>87250</v>
      </c>
      <c r="E37" s="136">
        <v>1262</v>
      </c>
      <c r="F37" s="136">
        <v>1100</v>
      </c>
      <c r="G37" s="20">
        <v>78576</v>
      </c>
      <c r="H37" s="20">
        <v>64000</v>
      </c>
      <c r="I37" s="20">
        <v>1577</v>
      </c>
      <c r="J37" s="20">
        <v>1320</v>
      </c>
      <c r="K37" s="20">
        <v>115</v>
      </c>
      <c r="L37" s="20">
        <v>150</v>
      </c>
      <c r="M37" s="20">
        <v>12782</v>
      </c>
      <c r="N37" s="20">
        <v>7600</v>
      </c>
      <c r="O37" s="20">
        <v>461</v>
      </c>
      <c r="P37" s="20">
        <v>300</v>
      </c>
    </row>
    <row r="38" spans="1:16">
      <c r="A38" s="21"/>
      <c r="B38" s="21" t="s">
        <v>121</v>
      </c>
      <c r="C38" s="136">
        <v>145062</v>
      </c>
      <c r="D38" s="136">
        <v>111900</v>
      </c>
      <c r="E38" s="136">
        <v>2996</v>
      </c>
      <c r="F38" s="136">
        <v>2700</v>
      </c>
      <c r="G38" s="20">
        <v>83815</v>
      </c>
      <c r="H38" s="20">
        <v>60000</v>
      </c>
      <c r="I38" s="20">
        <v>7344</v>
      </c>
      <c r="J38" s="20">
        <v>6700</v>
      </c>
      <c r="K38" s="20">
        <v>1048</v>
      </c>
      <c r="L38" s="20">
        <v>800</v>
      </c>
      <c r="M38" s="20">
        <v>61824</v>
      </c>
      <c r="N38" s="20">
        <v>41040</v>
      </c>
      <c r="O38" s="20">
        <v>2095</v>
      </c>
      <c r="P38" s="20">
        <v>1805</v>
      </c>
    </row>
    <row r="39" spans="1:16">
      <c r="A39" s="21"/>
      <c r="B39" s="21" t="s">
        <v>122</v>
      </c>
      <c r="C39" s="136">
        <v>210636</v>
      </c>
      <c r="D39" s="136">
        <v>141040</v>
      </c>
      <c r="E39" s="136">
        <v>5867</v>
      </c>
      <c r="F39" s="136">
        <v>5500</v>
      </c>
      <c r="G39" s="20">
        <v>94187</v>
      </c>
      <c r="H39" s="20">
        <v>58000</v>
      </c>
      <c r="I39" s="20">
        <v>16030</v>
      </c>
      <c r="J39" s="20">
        <v>16000</v>
      </c>
      <c r="K39" s="20">
        <v>3007</v>
      </c>
      <c r="L39" s="20">
        <v>2650</v>
      </c>
      <c r="M39" s="20">
        <v>150971</v>
      </c>
      <c r="N39" s="20">
        <v>100940</v>
      </c>
      <c r="O39" s="20">
        <v>5238</v>
      </c>
      <c r="P39" s="20">
        <v>4500</v>
      </c>
    </row>
    <row r="40" spans="1:16">
      <c r="A40" s="21"/>
      <c r="B40" s="21" t="s">
        <v>28</v>
      </c>
      <c r="C40" s="136">
        <v>592045</v>
      </c>
      <c r="D40" s="136">
        <v>475950</v>
      </c>
      <c r="E40" s="136">
        <v>20535</v>
      </c>
      <c r="F40" s="136">
        <v>18000</v>
      </c>
      <c r="G40" s="20">
        <v>199059</v>
      </c>
      <c r="H40" s="20">
        <v>139940</v>
      </c>
      <c r="I40" s="20">
        <v>160023</v>
      </c>
      <c r="J40" s="20">
        <v>82000</v>
      </c>
      <c r="K40" s="20">
        <v>14668</v>
      </c>
      <c r="L40" s="20">
        <v>10000</v>
      </c>
      <c r="M40" s="20">
        <v>539642</v>
      </c>
      <c r="N40" s="20">
        <v>417380</v>
      </c>
      <c r="O40" s="20">
        <v>19906</v>
      </c>
      <c r="P40" s="20">
        <v>17200</v>
      </c>
    </row>
    <row r="41" spans="1:16">
      <c r="A41" s="21"/>
      <c r="B41" s="21" t="s">
        <v>125</v>
      </c>
      <c r="C41" s="136">
        <v>245786</v>
      </c>
      <c r="D41" s="136">
        <v>173010</v>
      </c>
      <c r="E41" s="136">
        <v>7627</v>
      </c>
      <c r="F41" s="136">
        <v>6400</v>
      </c>
      <c r="G41" s="20">
        <v>110007</v>
      </c>
      <c r="H41" s="20">
        <v>75000</v>
      </c>
      <c r="I41" s="20">
        <v>5343</v>
      </c>
      <c r="J41" s="20">
        <v>5100</v>
      </c>
      <c r="K41" s="20">
        <v>744</v>
      </c>
      <c r="L41" s="20">
        <v>630</v>
      </c>
      <c r="M41" s="20">
        <v>126539</v>
      </c>
      <c r="N41" s="20">
        <v>77000</v>
      </c>
      <c r="O41" s="137">
        <v>4180</v>
      </c>
      <c r="P41" s="20">
        <v>3100</v>
      </c>
    </row>
    <row r="43" spans="1:16">
      <c r="A43" s="342" t="s">
        <v>263</v>
      </c>
      <c r="B43" s="342"/>
      <c r="C43" s="342"/>
      <c r="D43" s="342"/>
      <c r="E43" s="342"/>
      <c r="F43" s="342"/>
      <c r="G43" s="342"/>
      <c r="H43" s="342"/>
      <c r="I43" s="342"/>
      <c r="J43" s="342"/>
      <c r="K43" s="342"/>
      <c r="L43" s="342"/>
    </row>
    <row r="44" spans="1:16">
      <c r="A44" s="342"/>
      <c r="B44" s="342"/>
      <c r="C44" s="342"/>
      <c r="D44" s="342"/>
      <c r="E44" s="342"/>
      <c r="F44" s="342"/>
      <c r="G44" s="342"/>
      <c r="H44" s="342"/>
      <c r="I44" s="342"/>
      <c r="J44" s="342"/>
      <c r="K44" s="342"/>
      <c r="L44" s="342"/>
    </row>
    <row r="45" spans="1:16">
      <c r="A45" s="342"/>
      <c r="B45" s="342"/>
      <c r="C45" s="342"/>
      <c r="D45" s="342"/>
      <c r="E45" s="342"/>
      <c r="F45" s="342"/>
      <c r="G45" s="342"/>
      <c r="H45" s="342"/>
      <c r="I45" s="342"/>
      <c r="J45" s="342"/>
      <c r="K45" s="342"/>
      <c r="L45" s="342"/>
    </row>
    <row r="46" spans="1:16">
      <c r="A46" s="2" t="s">
        <v>264</v>
      </c>
      <c r="B46" s="2"/>
      <c r="C46" s="2"/>
      <c r="D46" s="2"/>
      <c r="E46" s="2"/>
      <c r="F46" s="2"/>
      <c r="G46" s="2"/>
      <c r="H46" s="2"/>
      <c r="I46" s="2"/>
      <c r="J46" s="2"/>
      <c r="K46" s="2"/>
      <c r="L46" s="2"/>
    </row>
  </sheetData>
  <mergeCells count="8">
    <mergeCell ref="A43:L45"/>
    <mergeCell ref="E6:F6"/>
    <mergeCell ref="O6:P6"/>
    <mergeCell ref="M4:P4"/>
    <mergeCell ref="G6:H6"/>
    <mergeCell ref="C4:H4"/>
    <mergeCell ref="I4:L4"/>
    <mergeCell ref="K6:L6"/>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3"/>
  <sheetViews>
    <sheetView workbookViewId="0">
      <selection activeCell="A2" sqref="A2"/>
    </sheetView>
  </sheetViews>
  <sheetFormatPr defaultColWidth="8.85546875" defaultRowHeight="15"/>
  <cols>
    <col min="1" max="1" width="39.7109375" customWidth="1"/>
    <col min="2" max="2" width="5.7109375" customWidth="1"/>
    <col min="3" max="4" width="10.140625" bestFit="1" customWidth="1"/>
    <col min="5" max="5" width="9.85546875" customWidth="1"/>
    <col min="6" max="6" width="6" customWidth="1"/>
    <col min="7" max="7" width="9.140625" style="12" customWidth="1"/>
    <col min="8" max="9" width="10.140625" bestFit="1" customWidth="1"/>
    <col min="10" max="10" width="10.42578125" customWidth="1"/>
    <col min="11" max="11" width="5.42578125" bestFit="1" customWidth="1"/>
    <col min="12" max="12" width="8.85546875" style="12" customWidth="1"/>
    <col min="13" max="14" width="10.140625" bestFit="1" customWidth="1"/>
    <col min="15" max="15" width="10.28515625" customWidth="1"/>
    <col min="16" max="16" width="5.42578125" bestFit="1" customWidth="1"/>
    <col min="17" max="17" width="9" style="12" customWidth="1"/>
    <col min="18" max="18" width="1.140625" customWidth="1"/>
    <col min="19" max="22" width="10.42578125" customWidth="1"/>
  </cols>
  <sheetData>
    <row r="1" spans="1:22" ht="15.75" thickBot="1">
      <c r="A1" s="1" t="s">
        <v>401</v>
      </c>
    </row>
    <row r="2" spans="1:22">
      <c r="A2" s="38"/>
      <c r="B2" s="39"/>
      <c r="C2" s="38" t="s">
        <v>78</v>
      </c>
      <c r="D2" s="40"/>
      <c r="E2" s="40"/>
      <c r="F2" s="40"/>
      <c r="G2" s="41"/>
      <c r="H2" s="38" t="s">
        <v>79</v>
      </c>
      <c r="I2" s="40"/>
      <c r="J2" s="40"/>
      <c r="K2" s="40"/>
      <c r="L2" s="41"/>
      <c r="M2" s="42" t="s">
        <v>80</v>
      </c>
      <c r="N2" s="40"/>
      <c r="O2" s="40"/>
      <c r="P2" s="40"/>
      <c r="Q2" s="41"/>
      <c r="S2" s="41"/>
      <c r="T2" s="41"/>
      <c r="U2" s="41"/>
      <c r="V2" s="41"/>
    </row>
    <row r="3" spans="1:22" s="10" customFormat="1" ht="75">
      <c r="A3" s="43"/>
      <c r="B3" s="44"/>
      <c r="C3" s="43">
        <v>2013</v>
      </c>
      <c r="D3" s="45">
        <v>2023</v>
      </c>
      <c r="E3" s="45" t="s">
        <v>265</v>
      </c>
      <c r="F3" s="45" t="s">
        <v>81</v>
      </c>
      <c r="G3" s="46" t="s">
        <v>82</v>
      </c>
      <c r="H3" s="43">
        <v>2013</v>
      </c>
      <c r="I3" s="45">
        <v>2023</v>
      </c>
      <c r="J3" s="45" t="s">
        <v>265</v>
      </c>
      <c r="K3" s="45" t="s">
        <v>81</v>
      </c>
      <c r="L3" s="46" t="s">
        <v>82</v>
      </c>
      <c r="M3" s="47">
        <v>2013</v>
      </c>
      <c r="N3" s="45">
        <v>2023</v>
      </c>
      <c r="O3" s="45" t="s">
        <v>265</v>
      </c>
      <c r="P3" s="45" t="s">
        <v>81</v>
      </c>
      <c r="Q3" s="46" t="s">
        <v>82</v>
      </c>
      <c r="S3" s="46" t="s">
        <v>83</v>
      </c>
      <c r="T3" s="46" t="s">
        <v>84</v>
      </c>
      <c r="U3" s="46" t="s">
        <v>85</v>
      </c>
      <c r="V3" s="46" t="s">
        <v>86</v>
      </c>
    </row>
    <row r="4" spans="1:22" s="10" customFormat="1">
      <c r="A4" s="43"/>
      <c r="B4" s="44"/>
      <c r="C4" s="43"/>
      <c r="D4" s="45"/>
      <c r="E4" s="45"/>
      <c r="F4" s="45"/>
      <c r="G4" s="46"/>
      <c r="H4" s="43"/>
      <c r="I4" s="45"/>
      <c r="J4" s="45"/>
      <c r="K4" s="45"/>
      <c r="L4" s="46"/>
      <c r="M4" s="47"/>
      <c r="N4" s="45"/>
      <c r="O4" s="45"/>
      <c r="P4" s="45"/>
      <c r="Q4" s="46"/>
      <c r="S4" s="46"/>
      <c r="T4" s="46"/>
      <c r="U4" s="46"/>
      <c r="V4" s="46"/>
    </row>
    <row r="5" spans="1:22" s="1" customFormat="1">
      <c r="A5" s="48" t="s">
        <v>7</v>
      </c>
      <c r="B5" s="49"/>
      <c r="C5" s="50">
        <v>42732834.646471538</v>
      </c>
      <c r="D5" s="51">
        <v>46747840.972232275</v>
      </c>
      <c r="E5" s="51">
        <v>4015006.3257607371</v>
      </c>
      <c r="F5" s="145">
        <v>9.3956002661111953</v>
      </c>
      <c r="G5" s="146">
        <v>100</v>
      </c>
      <c r="H5" s="50">
        <v>42745097.558775261</v>
      </c>
      <c r="I5" s="51">
        <v>47090582.023299873</v>
      </c>
      <c r="J5" s="51">
        <v>4345484.4645246118</v>
      </c>
      <c r="K5" s="145">
        <v>10.166041751453472</v>
      </c>
      <c r="L5" s="146">
        <v>100</v>
      </c>
      <c r="M5" s="53">
        <v>42757361.46355357</v>
      </c>
      <c r="N5" s="51">
        <v>47433211.489041597</v>
      </c>
      <c r="O5" s="51">
        <v>4675850.0254880264</v>
      </c>
      <c r="P5" s="145">
        <v>10.935777759518036</v>
      </c>
      <c r="Q5" s="146">
        <v>100</v>
      </c>
      <c r="S5" s="52"/>
      <c r="T5" s="52"/>
      <c r="U5" s="52"/>
      <c r="V5" s="52"/>
    </row>
    <row r="6" spans="1:22" ht="15.75" thickBot="1">
      <c r="A6" s="54"/>
      <c r="B6" s="55"/>
      <c r="C6" s="56"/>
      <c r="D6" s="57"/>
      <c r="E6" s="57"/>
      <c r="F6" s="147"/>
      <c r="G6" s="148"/>
      <c r="H6" s="56"/>
      <c r="I6" s="57"/>
      <c r="J6" s="57"/>
      <c r="K6" s="147"/>
      <c r="L6" s="148"/>
      <c r="M6" s="59"/>
      <c r="N6" s="57"/>
      <c r="O6" s="57"/>
      <c r="P6" s="147"/>
      <c r="Q6" s="148"/>
      <c r="S6" s="58"/>
      <c r="T6" s="58"/>
      <c r="U6" s="58"/>
      <c r="V6" s="58"/>
    </row>
    <row r="7" spans="1:22">
      <c r="A7" s="60" t="s">
        <v>21</v>
      </c>
      <c r="B7" s="61"/>
      <c r="C7" s="62">
        <v>9089098.0929990187</v>
      </c>
      <c r="D7" s="63">
        <v>10218967.996283755</v>
      </c>
      <c r="E7" s="63">
        <v>1129869.903284736</v>
      </c>
      <c r="F7" s="149">
        <v>12.431045321812856</v>
      </c>
      <c r="G7" s="150">
        <v>28.141173677245838</v>
      </c>
      <c r="H7" s="62">
        <v>9090693.2396920212</v>
      </c>
      <c r="I7" s="63">
        <v>10265595.919448275</v>
      </c>
      <c r="J7" s="63">
        <v>1174902.679756254</v>
      </c>
      <c r="K7" s="149">
        <v>12.924236345654732</v>
      </c>
      <c r="L7" s="150">
        <v>27.037323210975657</v>
      </c>
      <c r="M7" s="64">
        <v>9092287.0632069111</v>
      </c>
      <c r="N7" s="63">
        <v>10312200.018824417</v>
      </c>
      <c r="O7" s="63">
        <v>1219912.9556175061</v>
      </c>
      <c r="P7" s="149">
        <v>13.41700880248313</v>
      </c>
      <c r="Q7" s="150">
        <v>26.089651057407075</v>
      </c>
      <c r="S7" s="151">
        <v>21.269588521784403</v>
      </c>
      <c r="T7" s="151">
        <v>21.859764608923253</v>
      </c>
      <c r="U7" s="151">
        <v>28.141173677245838</v>
      </c>
      <c r="V7" s="151">
        <v>26.089651057407075</v>
      </c>
    </row>
    <row r="8" spans="1:22">
      <c r="A8" s="65" t="s">
        <v>22</v>
      </c>
      <c r="B8" s="66"/>
      <c r="C8" s="67">
        <v>9549748.6329673342</v>
      </c>
      <c r="D8" s="20">
        <v>10217669.993178558</v>
      </c>
      <c r="E8" s="20">
        <v>667921.36021122336</v>
      </c>
      <c r="F8" s="152">
        <v>6.9941250380711253</v>
      </c>
      <c r="G8" s="153">
        <v>16.635624106636246</v>
      </c>
      <c r="H8" s="67">
        <v>9552951.7880303785</v>
      </c>
      <c r="I8" s="20">
        <v>10315433.43230187</v>
      </c>
      <c r="J8" s="20">
        <v>762481.6442714911</v>
      </c>
      <c r="K8" s="152">
        <v>7.9816339618385026</v>
      </c>
      <c r="L8" s="153">
        <v>17.546527907214717</v>
      </c>
      <c r="M8" s="68">
        <v>9556153.6776990835</v>
      </c>
      <c r="N8" s="20">
        <v>10413165.193959802</v>
      </c>
      <c r="O8" s="20">
        <v>857011.51626071893</v>
      </c>
      <c r="P8" s="152">
        <v>8.9681638153298184</v>
      </c>
      <c r="Q8" s="153">
        <v>18.328464591232716</v>
      </c>
      <c r="S8" s="154">
        <v>22.347566483647395</v>
      </c>
      <c r="T8" s="154">
        <v>21.856988003462547</v>
      </c>
      <c r="U8" s="154">
        <v>16.635624106636246</v>
      </c>
      <c r="V8" s="154">
        <v>18.328464591232716</v>
      </c>
    </row>
    <row r="9" spans="1:22">
      <c r="A9" s="65" t="s">
        <v>87</v>
      </c>
      <c r="B9" s="66"/>
      <c r="C9" s="67">
        <v>2013455.4869304509</v>
      </c>
      <c r="D9" s="20">
        <v>2058616.5198756102</v>
      </c>
      <c r="E9" s="20">
        <v>45161.032945159357</v>
      </c>
      <c r="F9" s="152">
        <v>2.242961577164448</v>
      </c>
      <c r="G9" s="153">
        <v>1.1248060222321701</v>
      </c>
      <c r="H9" s="67">
        <v>2014076.1589707406</v>
      </c>
      <c r="I9" s="20">
        <v>2074485.3953600461</v>
      </c>
      <c r="J9" s="20">
        <v>60409.236389305443</v>
      </c>
      <c r="K9" s="152">
        <v>2.999352140694449</v>
      </c>
      <c r="L9" s="153">
        <v>1.390161140431418</v>
      </c>
      <c r="M9" s="68">
        <v>2014697.2075513597</v>
      </c>
      <c r="N9" s="20">
        <v>2090351.5587482066</v>
      </c>
      <c r="O9" s="20">
        <v>75654.351196846925</v>
      </c>
      <c r="P9" s="152">
        <v>3.7551226513485059</v>
      </c>
      <c r="Q9" s="153">
        <v>1.6179807047799988</v>
      </c>
      <c r="S9" s="154">
        <v>4.7117292910422517</v>
      </c>
      <c r="T9" s="154">
        <v>4.4036611682203821</v>
      </c>
      <c r="U9" s="154">
        <v>1.1248060222321701</v>
      </c>
      <c r="V9" s="154">
        <v>1.6179807047799988</v>
      </c>
    </row>
    <row r="10" spans="1:22">
      <c r="A10" s="65" t="s">
        <v>88</v>
      </c>
      <c r="B10" s="66"/>
      <c r="C10" s="67">
        <v>1409594.0465317385</v>
      </c>
      <c r="D10" s="20">
        <v>1506266.5858117428</v>
      </c>
      <c r="E10" s="20">
        <v>96672.539280004334</v>
      </c>
      <c r="F10" s="152">
        <v>6.8581830008337548</v>
      </c>
      <c r="G10" s="153">
        <v>2.4077804973741221</v>
      </c>
      <c r="H10" s="67">
        <v>1410260.1367856448</v>
      </c>
      <c r="I10" s="20">
        <v>1524176.9189903736</v>
      </c>
      <c r="J10" s="20">
        <v>113916.78220472881</v>
      </c>
      <c r="K10" s="152">
        <v>8.0777141204866805</v>
      </c>
      <c r="L10" s="153">
        <v>2.6214978590929352</v>
      </c>
      <c r="M10" s="68">
        <v>1410927.047759044</v>
      </c>
      <c r="N10" s="20">
        <v>1542083.2868687024</v>
      </c>
      <c r="O10" s="20">
        <v>131156.2391096584</v>
      </c>
      <c r="P10" s="152">
        <v>9.2957491542863284</v>
      </c>
      <c r="Q10" s="153">
        <v>2.8049710404466919</v>
      </c>
      <c r="S10" s="154">
        <v>3.2986205062062948</v>
      </c>
      <c r="T10" s="154">
        <v>3.2221094161470463</v>
      </c>
      <c r="U10" s="154">
        <v>2.4077804973741221</v>
      </c>
      <c r="V10" s="154">
        <v>2.8049710404466919</v>
      </c>
    </row>
    <row r="11" spans="1:22">
      <c r="A11" s="65" t="s">
        <v>89</v>
      </c>
      <c r="B11" s="66"/>
      <c r="C11" s="67">
        <v>3253126.6948974244</v>
      </c>
      <c r="D11" s="20">
        <v>3535391.0596149242</v>
      </c>
      <c r="E11" s="20">
        <v>282264.36471749982</v>
      </c>
      <c r="F11" s="152">
        <v>8.6767098607083302</v>
      </c>
      <c r="G11" s="153">
        <v>7.0302346202161514</v>
      </c>
      <c r="H11" s="67">
        <v>3254400.3859138987</v>
      </c>
      <c r="I11" s="20">
        <v>3571349.4245094587</v>
      </c>
      <c r="J11" s="20">
        <v>316949.03859556001</v>
      </c>
      <c r="K11" s="152">
        <v>9.7390917223159867</v>
      </c>
      <c r="L11" s="153">
        <v>7.293756108968938</v>
      </c>
      <c r="M11" s="68">
        <v>3255675.4160936899</v>
      </c>
      <c r="N11" s="20">
        <v>3607298.9334961288</v>
      </c>
      <c r="O11" s="20">
        <v>351623.51740243891</v>
      </c>
      <c r="P11" s="152">
        <v>10.800324739507758</v>
      </c>
      <c r="Q11" s="153">
        <v>7.5199913488615229</v>
      </c>
      <c r="S11" s="154">
        <v>7.6127098092380736</v>
      </c>
      <c r="T11" s="154">
        <v>7.5626830803050549</v>
      </c>
      <c r="U11" s="154">
        <v>7.0302346202161514</v>
      </c>
      <c r="V11" s="154">
        <v>7.5199913488615229</v>
      </c>
    </row>
    <row r="12" spans="1:22">
      <c r="A12" s="65" t="s">
        <v>90</v>
      </c>
      <c r="B12" s="66"/>
      <c r="C12" s="67">
        <v>1192241.9396015333</v>
      </c>
      <c r="D12" s="20">
        <v>1294583.2256324121</v>
      </c>
      <c r="E12" s="20">
        <v>102341.28603087878</v>
      </c>
      <c r="F12" s="152">
        <v>8.5839360813865433</v>
      </c>
      <c r="G12" s="153">
        <v>2.5489694841635853</v>
      </c>
      <c r="H12" s="67">
        <v>1192708.6839835828</v>
      </c>
      <c r="I12" s="20">
        <v>1307919.7642642816</v>
      </c>
      <c r="J12" s="20">
        <v>115211.08028069884</v>
      </c>
      <c r="K12" s="152">
        <v>9.6596161181538509</v>
      </c>
      <c r="L12" s="153">
        <v>2.6512827561863741</v>
      </c>
      <c r="M12" s="68">
        <v>1193175.5622118604</v>
      </c>
      <c r="N12" s="20">
        <v>1321251.8588608569</v>
      </c>
      <c r="O12" s="20">
        <v>128076.29664899642</v>
      </c>
      <c r="P12" s="152">
        <v>10.734069713225921</v>
      </c>
      <c r="Q12" s="153">
        <v>2.7391018948609003</v>
      </c>
      <c r="S12" s="154">
        <v>2.7899902954366196</v>
      </c>
      <c r="T12" s="154">
        <v>2.7692898724486144</v>
      </c>
      <c r="U12" s="154">
        <v>2.5489694841635853</v>
      </c>
      <c r="V12" s="154">
        <v>2.7391018948609003</v>
      </c>
    </row>
    <row r="13" spans="1:22">
      <c r="A13" s="65" t="s">
        <v>25</v>
      </c>
      <c r="B13" s="66"/>
      <c r="C13" s="67">
        <v>10650787.988739468</v>
      </c>
      <c r="D13" s="20">
        <v>11859153.440657794</v>
      </c>
      <c r="E13" s="20">
        <v>1208365.45191833</v>
      </c>
      <c r="F13" s="152">
        <v>11.345315043317632</v>
      </c>
      <c r="G13" s="153">
        <v>30.09622784814351</v>
      </c>
      <c r="H13" s="67">
        <v>10653183.05633647</v>
      </c>
      <c r="I13" s="20">
        <v>11924528.207751349</v>
      </c>
      <c r="J13" s="20">
        <v>1271345.1514148787</v>
      </c>
      <c r="K13" s="152">
        <v>11.933946358489425</v>
      </c>
      <c r="L13" s="153">
        <v>29.256695353390512</v>
      </c>
      <c r="M13" s="68">
        <v>10655577.968851343</v>
      </c>
      <c r="N13" s="20">
        <v>11989879.46189066</v>
      </c>
      <c r="O13" s="20">
        <v>1334301.4930393174</v>
      </c>
      <c r="P13" s="152">
        <v>12.52209403318883</v>
      </c>
      <c r="Q13" s="153">
        <v>28.53601988442848</v>
      </c>
      <c r="S13" s="154">
        <v>24.924131705404914</v>
      </c>
      <c r="T13" s="154">
        <v>25.368344706447527</v>
      </c>
      <c r="U13" s="154">
        <v>30.09622784814351</v>
      </c>
      <c r="V13" s="154">
        <v>28.53601988442848</v>
      </c>
    </row>
    <row r="14" spans="1:22" ht="15.75" thickBot="1">
      <c r="A14" s="69" t="s">
        <v>91</v>
      </c>
      <c r="B14" s="70"/>
      <c r="C14" s="71">
        <v>5574781.7638045717</v>
      </c>
      <c r="D14" s="72">
        <v>6057192.151177479</v>
      </c>
      <c r="E14" s="72">
        <v>482410.38737290725</v>
      </c>
      <c r="F14" s="155">
        <v>8.653439862077775</v>
      </c>
      <c r="G14" s="156">
        <v>12.015183743988331</v>
      </c>
      <c r="H14" s="71">
        <v>5576824.1090625264</v>
      </c>
      <c r="I14" s="72">
        <v>6107092.9606742226</v>
      </c>
      <c r="J14" s="72">
        <v>530268.85161169618</v>
      </c>
      <c r="K14" s="155">
        <v>9.5084377997504266</v>
      </c>
      <c r="L14" s="156">
        <v>12.202755663739477</v>
      </c>
      <c r="M14" s="73">
        <v>5578867.5201802766</v>
      </c>
      <c r="N14" s="72">
        <v>6156981.1763928197</v>
      </c>
      <c r="O14" s="72">
        <v>578113.65621254314</v>
      </c>
      <c r="P14" s="155">
        <v>10.362562905846918</v>
      </c>
      <c r="Q14" s="156">
        <v>12.363819477982602</v>
      </c>
      <c r="S14" s="157">
        <v>13.045663387240058</v>
      </c>
      <c r="T14" s="157">
        <v>12.957159144045576</v>
      </c>
      <c r="U14" s="157">
        <v>12.015183743988331</v>
      </c>
      <c r="V14" s="157">
        <v>12.363819477982602</v>
      </c>
    </row>
    <row r="15" spans="1:22">
      <c r="A15" s="60" t="s">
        <v>12</v>
      </c>
      <c r="B15" s="61"/>
      <c r="C15" s="62">
        <v>22342413.299947001</v>
      </c>
      <c r="D15" s="63">
        <v>22404150.105317816</v>
      </c>
      <c r="E15" s="63">
        <v>61736.805370815098</v>
      </c>
      <c r="F15" s="149">
        <v>0.27632111420551669</v>
      </c>
      <c r="G15" s="150">
        <v>1.5376515094062178</v>
      </c>
      <c r="H15" s="62">
        <v>22344159.036505412</v>
      </c>
      <c r="I15" s="63">
        <v>22451123.103374928</v>
      </c>
      <c r="J15" s="63">
        <v>106964.06686951593</v>
      </c>
      <c r="K15" s="149">
        <v>0.47871153572958508</v>
      </c>
      <c r="L15" s="150">
        <v>2.4614992354187968</v>
      </c>
      <c r="M15" s="64">
        <v>22345906.92877239</v>
      </c>
      <c r="N15" s="63">
        <v>22498107.20611313</v>
      </c>
      <c r="O15" s="63">
        <v>152200.27734073997</v>
      </c>
      <c r="P15" s="149">
        <v>0.68111031620188234</v>
      </c>
      <c r="Q15" s="150">
        <v>3.2550290644716426</v>
      </c>
      <c r="S15" s="151">
        <v>52.283948595466789</v>
      </c>
      <c r="T15" s="151">
        <v>47.925529049834928</v>
      </c>
      <c r="U15" s="151">
        <v>1.5376515094062178</v>
      </c>
      <c r="V15" s="151">
        <v>3.2550290644716426</v>
      </c>
    </row>
    <row r="16" spans="1:22">
      <c r="A16" s="65" t="s">
        <v>13</v>
      </c>
      <c r="B16" s="66"/>
      <c r="C16" s="67">
        <v>8538234.0447990745</v>
      </c>
      <c r="D16" s="20">
        <v>9560710.7328416575</v>
      </c>
      <c r="E16" s="20">
        <v>1022476.6880425829</v>
      </c>
      <c r="F16" s="152">
        <v>11.975271264265798</v>
      </c>
      <c r="G16" s="153">
        <v>25.466378009973639</v>
      </c>
      <c r="H16" s="67">
        <v>8540223.5550462417</v>
      </c>
      <c r="I16" s="20">
        <v>9615848.7714641765</v>
      </c>
      <c r="J16" s="20">
        <v>1075625.2164179347</v>
      </c>
      <c r="K16" s="152">
        <v>12.594813349849254</v>
      </c>
      <c r="L16" s="153">
        <v>24.752711123444467</v>
      </c>
      <c r="M16" s="68">
        <v>8542214.9905067701</v>
      </c>
      <c r="N16" s="20">
        <v>9670976.0421060268</v>
      </c>
      <c r="O16" s="20">
        <v>1128761.0515992567</v>
      </c>
      <c r="P16" s="152">
        <v>13.213915276701465</v>
      </c>
      <c r="Q16" s="153">
        <v>24.140232159850893</v>
      </c>
      <c r="S16" s="154">
        <v>19.980500042732547</v>
      </c>
      <c r="T16" s="154">
        <v>20.451662652229476</v>
      </c>
      <c r="U16" s="154">
        <v>25.466378009973639</v>
      </c>
      <c r="V16" s="154">
        <v>24.140232159850893</v>
      </c>
    </row>
    <row r="17" spans="1:22">
      <c r="A17" s="65" t="s">
        <v>14</v>
      </c>
      <c r="B17" s="66"/>
      <c r="C17" s="67">
        <v>8400506.6391569134</v>
      </c>
      <c r="D17" s="20">
        <v>10571843.418748314</v>
      </c>
      <c r="E17" s="20">
        <v>2171336.7795914002</v>
      </c>
      <c r="F17" s="152">
        <v>25.847688393819524</v>
      </c>
      <c r="G17" s="153">
        <v>54.080531969771918</v>
      </c>
      <c r="H17" s="67">
        <v>8405740.1553612407</v>
      </c>
      <c r="I17" s="20">
        <v>10723635.481257025</v>
      </c>
      <c r="J17" s="20">
        <v>2317895.3258957844</v>
      </c>
      <c r="K17" s="152">
        <v>27.57514844683147</v>
      </c>
      <c r="L17" s="153">
        <v>53.340320160351972</v>
      </c>
      <c r="M17" s="68">
        <v>8410975.0298370775</v>
      </c>
      <c r="N17" s="20">
        <v>10875371.967844112</v>
      </c>
      <c r="O17" s="20">
        <v>2464396.9380070344</v>
      </c>
      <c r="P17" s="152">
        <v>29.299777127679455</v>
      </c>
      <c r="Q17" s="153">
        <v>52.704790029056184</v>
      </c>
      <c r="S17" s="154">
        <v>19.658201260586271</v>
      </c>
      <c r="T17" s="154">
        <v>22.614613207544444</v>
      </c>
      <c r="U17" s="154">
        <v>54.080531969771918</v>
      </c>
      <c r="V17" s="154">
        <v>52.704790029056184</v>
      </c>
    </row>
    <row r="18" spans="1:22" ht="15.75" thickBot="1">
      <c r="A18" s="65" t="s">
        <v>70</v>
      </c>
      <c r="B18" s="66"/>
      <c r="C18" s="67">
        <v>3451680.6310528968</v>
      </c>
      <c r="D18" s="20">
        <v>4211136.6892130654</v>
      </c>
      <c r="E18" s="20">
        <v>759456.05816016858</v>
      </c>
      <c r="F18" s="152">
        <v>22.00250079128859</v>
      </c>
      <c r="G18" s="153">
        <v>18.915438645449004</v>
      </c>
      <c r="H18" s="67">
        <v>3454974.7803668631</v>
      </c>
      <c r="I18" s="20">
        <v>4299974.6419807142</v>
      </c>
      <c r="J18" s="20">
        <v>844999.86161385104</v>
      </c>
      <c r="K18" s="152">
        <v>24.457482769935748</v>
      </c>
      <c r="L18" s="153">
        <v>19.445469625129416</v>
      </c>
      <c r="M18" s="68">
        <v>3458264.4829618647</v>
      </c>
      <c r="N18" s="20">
        <v>4388756.2486414611</v>
      </c>
      <c r="O18" s="20">
        <v>930491.76567959646</v>
      </c>
      <c r="P18" s="152">
        <v>26.906321661166515</v>
      </c>
      <c r="Q18" s="153">
        <v>19.899948899290873</v>
      </c>
      <c r="S18" s="154">
        <v>8.0773500274639591</v>
      </c>
      <c r="T18" s="154">
        <v>9.0081950345352553</v>
      </c>
      <c r="U18" s="154">
        <v>18.915438645449004</v>
      </c>
      <c r="V18" s="154">
        <v>19.899948899290873</v>
      </c>
    </row>
    <row r="19" spans="1:22">
      <c r="A19" s="60" t="s">
        <v>62</v>
      </c>
      <c r="B19" s="61"/>
      <c r="C19" s="62">
        <v>4989950.7536937632</v>
      </c>
      <c r="D19" s="63">
        <v>4728467.0253011994</v>
      </c>
      <c r="E19" s="63">
        <v>-261483.72839256376</v>
      </c>
      <c r="F19" s="149">
        <v>-5.240206593201405</v>
      </c>
      <c r="G19" s="150">
        <v>-6.5126604338044114</v>
      </c>
      <c r="H19" s="62">
        <v>4992484.5475444421</v>
      </c>
      <c r="I19" s="63">
        <v>4775035.9451480135</v>
      </c>
      <c r="J19" s="63">
        <v>-217448.60239642859</v>
      </c>
      <c r="K19" s="149">
        <v>-4.3555187868008698</v>
      </c>
      <c r="L19" s="150">
        <v>-5.0040128821451688</v>
      </c>
      <c r="M19" s="64">
        <v>4995023.5860666949</v>
      </c>
      <c r="N19" s="63">
        <v>4821604.5802050605</v>
      </c>
      <c r="O19" s="63">
        <v>-173419.00586163439</v>
      </c>
      <c r="P19" s="149">
        <v>-3.4718355754190195</v>
      </c>
      <c r="Q19" s="150">
        <v>-3.7088230998926095</v>
      </c>
      <c r="S19" s="151">
        <v>11.677088110291754</v>
      </c>
      <c r="T19" s="151">
        <v>10.114835096041888</v>
      </c>
      <c r="U19" s="151">
        <v>-6.5126604338044114</v>
      </c>
      <c r="V19" s="151">
        <v>-3.7088230998926095</v>
      </c>
    </row>
    <row r="20" spans="1:22">
      <c r="A20" s="65" t="s">
        <v>92</v>
      </c>
      <c r="B20" s="66"/>
      <c r="C20" s="67">
        <v>11757668.113466067</v>
      </c>
      <c r="D20" s="20">
        <v>12817289.350344788</v>
      </c>
      <c r="E20" s="20">
        <v>1059621.236878721</v>
      </c>
      <c r="F20" s="152">
        <v>9.0121716878973306</v>
      </c>
      <c r="G20" s="153">
        <v>26.391520981674944</v>
      </c>
      <c r="H20" s="67">
        <v>11763380.873530174</v>
      </c>
      <c r="I20" s="20">
        <v>12980331.939932786</v>
      </c>
      <c r="J20" s="20">
        <v>1216951.0664026123</v>
      </c>
      <c r="K20" s="152">
        <v>10.345249205872282</v>
      </c>
      <c r="L20" s="153">
        <v>28.004957245560984</v>
      </c>
      <c r="M20" s="68">
        <v>11769102.320250722</v>
      </c>
      <c r="N20" s="20">
        <v>13143351.141955974</v>
      </c>
      <c r="O20" s="20">
        <v>1374248.8217052519</v>
      </c>
      <c r="P20" s="152">
        <v>11.676751414936938</v>
      </c>
      <c r="Q20" s="153">
        <v>29.390352860212175</v>
      </c>
      <c r="S20" s="154">
        <v>27.514365032736954</v>
      </c>
      <c r="T20" s="154">
        <v>27.417927938015623</v>
      </c>
      <c r="U20" s="154">
        <v>26.391520981674944</v>
      </c>
      <c r="V20" s="154">
        <v>29.390352860212175</v>
      </c>
    </row>
    <row r="21" spans="1:22">
      <c r="A21" s="65" t="s">
        <v>93</v>
      </c>
      <c r="B21" s="66"/>
      <c r="C21" s="67">
        <v>8317958.1295085587</v>
      </c>
      <c r="D21" s="20">
        <v>9166114.9125721455</v>
      </c>
      <c r="E21" s="20">
        <v>848156.7830635868</v>
      </c>
      <c r="F21" s="152">
        <v>10.196694547604048</v>
      </c>
      <c r="G21" s="153">
        <v>21.124668661708363</v>
      </c>
      <c r="H21" s="67">
        <v>8320219.0950702634</v>
      </c>
      <c r="I21" s="20">
        <v>9242878.812946314</v>
      </c>
      <c r="J21" s="20">
        <v>922659.71787605062</v>
      </c>
      <c r="K21" s="152">
        <v>11.089368048285259</v>
      </c>
      <c r="L21" s="153">
        <v>21.232608824364718</v>
      </c>
      <c r="M21" s="68">
        <v>8322471.1592376847</v>
      </c>
      <c r="N21" s="20">
        <v>9319615.3905822933</v>
      </c>
      <c r="O21" s="20">
        <v>997144.23134460859</v>
      </c>
      <c r="P21" s="152">
        <v>11.981347994673547</v>
      </c>
      <c r="Q21" s="153">
        <v>21.325410907304175</v>
      </c>
      <c r="S21" s="154">
        <v>19.46502776687522</v>
      </c>
      <c r="T21" s="154">
        <v>19.607568439399632</v>
      </c>
      <c r="U21" s="154">
        <v>21.124668661708363</v>
      </c>
      <c r="V21" s="154">
        <v>21.325410907304175</v>
      </c>
    </row>
    <row r="22" spans="1:22">
      <c r="A22" s="65" t="s">
        <v>94</v>
      </c>
      <c r="B22" s="66"/>
      <c r="C22" s="67">
        <v>6981875.3630156014</v>
      </c>
      <c r="D22" s="20">
        <v>6630257.6207038024</v>
      </c>
      <c r="E22" s="20">
        <v>-351617.74231179897</v>
      </c>
      <c r="F22" s="152">
        <v>-5.0361503755049668</v>
      </c>
      <c r="G22" s="153">
        <v>-8.7575887503782877</v>
      </c>
      <c r="H22" s="67">
        <v>6982787.8459561067</v>
      </c>
      <c r="I22" s="20">
        <v>6660507.8493349534</v>
      </c>
      <c r="J22" s="20">
        <v>-322279.99662115332</v>
      </c>
      <c r="K22" s="152">
        <v>-4.6153485360119175</v>
      </c>
      <c r="L22" s="153">
        <v>-7.4164342146925648</v>
      </c>
      <c r="M22" s="68">
        <v>6983700.5216221325</v>
      </c>
      <c r="N22" s="20">
        <v>6690726.985485536</v>
      </c>
      <c r="O22" s="20">
        <v>-292973.53613659646</v>
      </c>
      <c r="P22" s="152">
        <v>-4.1951045184358264</v>
      </c>
      <c r="Q22" s="153">
        <v>-6.2656743595196529</v>
      </c>
      <c r="S22" s="154">
        <v>16.338432544380943</v>
      </c>
      <c r="T22" s="154">
        <v>14.183024248418457</v>
      </c>
      <c r="U22" s="154">
        <v>-8.7575887503782877</v>
      </c>
      <c r="V22" s="154">
        <v>-6.2656743595196529</v>
      </c>
    </row>
    <row r="23" spans="1:22">
      <c r="A23" s="65" t="s">
        <v>95</v>
      </c>
      <c r="B23" s="66"/>
      <c r="C23" s="67">
        <v>5289248.7039243262</v>
      </c>
      <c r="D23" s="20">
        <v>5849018.804842962</v>
      </c>
      <c r="E23" s="20">
        <v>559770.10091863573</v>
      </c>
      <c r="F23" s="152">
        <v>10.583168465935771</v>
      </c>
      <c r="G23" s="153">
        <v>13.941948168975154</v>
      </c>
      <c r="H23" s="67">
        <v>5289718.5215735361</v>
      </c>
      <c r="I23" s="20">
        <v>5863278.9122365825</v>
      </c>
      <c r="J23" s="20">
        <v>573560.39066304639</v>
      </c>
      <c r="K23" s="152">
        <v>10.842928377452285</v>
      </c>
      <c r="L23" s="153">
        <v>13.198997611093585</v>
      </c>
      <c r="M23" s="68">
        <v>5290186.9916860368</v>
      </c>
      <c r="N23" s="20">
        <v>5877531.9281199463</v>
      </c>
      <c r="O23" s="20">
        <v>587344.93643390946</v>
      </c>
      <c r="P23" s="152">
        <v>11.102536401018909</v>
      </c>
      <c r="Q23" s="153">
        <v>12.561244121011072</v>
      </c>
      <c r="S23" s="154">
        <v>12.377481502648365</v>
      </c>
      <c r="T23" s="154">
        <v>12.511847998108014</v>
      </c>
      <c r="U23" s="154">
        <v>13.941948168975154</v>
      </c>
      <c r="V23" s="154">
        <v>12.561244121011072</v>
      </c>
    </row>
    <row r="24" spans="1:22">
      <c r="A24" s="65" t="s">
        <v>96</v>
      </c>
      <c r="B24" s="66"/>
      <c r="C24" s="67">
        <v>2808612.4467929918</v>
      </c>
      <c r="D24" s="20">
        <v>4081453.0444022808</v>
      </c>
      <c r="E24" s="20">
        <v>1272840.597609289</v>
      </c>
      <c r="F24" s="152">
        <v>45.319196639702973</v>
      </c>
      <c r="G24" s="153">
        <v>31.702081997794103</v>
      </c>
      <c r="H24" s="67">
        <v>2808865.5176194943</v>
      </c>
      <c r="I24" s="20">
        <v>4089129.0382417776</v>
      </c>
      <c r="J24" s="20">
        <v>1280263.5206222832</v>
      </c>
      <c r="K24" s="152">
        <v>45.579381162658969</v>
      </c>
      <c r="L24" s="153">
        <v>29.461928378159367</v>
      </c>
      <c r="M24" s="68">
        <v>2809117.0371644478</v>
      </c>
      <c r="N24" s="20">
        <v>4096801.3247697186</v>
      </c>
      <c r="O24" s="20">
        <v>1287684.2876052707</v>
      </c>
      <c r="P24" s="152">
        <v>45.839467368902248</v>
      </c>
      <c r="Q24" s="153">
        <v>27.539041684102621</v>
      </c>
      <c r="S24" s="154">
        <v>6.5724927214134619</v>
      </c>
      <c r="T24" s="154">
        <v>8.7307840523086853</v>
      </c>
      <c r="U24" s="154">
        <v>31.702081997794103</v>
      </c>
      <c r="V24" s="154">
        <v>27.539041684102621</v>
      </c>
    </row>
    <row r="25" spans="1:22" ht="15.75" thickBot="1">
      <c r="A25" s="65" t="s">
        <v>97</v>
      </c>
      <c r="B25" s="66"/>
      <c r="C25" s="67">
        <v>2587521.1045545787</v>
      </c>
      <c r="D25" s="20">
        <v>3475240.187953664</v>
      </c>
      <c r="E25" s="20">
        <v>887719.08339908533</v>
      </c>
      <c r="F25" s="152">
        <v>34.307704073853309</v>
      </c>
      <c r="G25" s="153">
        <v>22.110029508630628</v>
      </c>
      <c r="H25" s="67">
        <v>2587641.1259857463</v>
      </c>
      <c r="I25" s="20">
        <v>3479419.5002364218</v>
      </c>
      <c r="J25" s="20">
        <v>891778.37425067555</v>
      </c>
      <c r="K25" s="152">
        <v>34.462985044379288</v>
      </c>
      <c r="L25" s="153">
        <v>20.52195518200373</v>
      </c>
      <c r="M25" s="68">
        <v>2587759.8160503847</v>
      </c>
      <c r="N25" s="20">
        <v>3483580.1135862051</v>
      </c>
      <c r="O25" s="20">
        <v>895820.2975358204</v>
      </c>
      <c r="P25" s="152">
        <v>34.61759827861777</v>
      </c>
      <c r="Q25" s="153">
        <v>19.158448039451866</v>
      </c>
      <c r="S25" s="154">
        <v>6.0551122479028692</v>
      </c>
      <c r="T25" s="154">
        <v>7.4340121718517862</v>
      </c>
      <c r="U25" s="154">
        <v>22.110029508630628</v>
      </c>
      <c r="V25" s="154">
        <v>19.158448039451866</v>
      </c>
    </row>
    <row r="26" spans="1:22">
      <c r="A26" s="74" t="s">
        <v>25</v>
      </c>
      <c r="B26" s="61" t="s">
        <v>62</v>
      </c>
      <c r="C26" s="62">
        <v>1183442.5295750455</v>
      </c>
      <c r="D26" s="63">
        <v>1091522.6453414892</v>
      </c>
      <c r="E26" s="63">
        <v>-91919.884233556222</v>
      </c>
      <c r="F26" s="149">
        <v>-7.7671607988064384</v>
      </c>
      <c r="G26" s="150">
        <v>-2.2894082045098609</v>
      </c>
      <c r="H26" s="62">
        <v>1183950.1125960099</v>
      </c>
      <c r="I26" s="63">
        <v>1100775.3033547935</v>
      </c>
      <c r="J26" s="63">
        <v>-83174.809241216397</v>
      </c>
      <c r="K26" s="149">
        <v>-7.025195433179328</v>
      </c>
      <c r="L26" s="150">
        <v>-1.9140514692949333</v>
      </c>
      <c r="M26" s="64">
        <v>1184458.7412448218</v>
      </c>
      <c r="N26" s="63">
        <v>1110027.3549127309</v>
      </c>
      <c r="O26" s="63">
        <v>-74431.386332090944</v>
      </c>
      <c r="P26" s="149">
        <v>-6.2839999182973934</v>
      </c>
      <c r="Q26" s="150">
        <v>-1.5918257841112518</v>
      </c>
      <c r="S26" s="151">
        <v>2.7693986120173348</v>
      </c>
      <c r="T26" s="151">
        <v>2.3349156295578273</v>
      </c>
      <c r="U26" s="151">
        <v>-2.2894082045098609</v>
      </c>
      <c r="V26" s="151">
        <v>-1.5918257841112518</v>
      </c>
    </row>
    <row r="27" spans="1:22">
      <c r="A27" s="75"/>
      <c r="B27" s="66" t="s">
        <v>92</v>
      </c>
      <c r="C27" s="67">
        <v>2470630.9219279666</v>
      </c>
      <c r="D27" s="20">
        <v>2673181.0887511754</v>
      </c>
      <c r="E27" s="20">
        <v>202550.1668232088</v>
      </c>
      <c r="F27" s="152">
        <v>8.1983174834203076</v>
      </c>
      <c r="G27" s="153">
        <v>5.0448280871595124</v>
      </c>
      <c r="H27" s="67">
        <v>2471739.3457735907</v>
      </c>
      <c r="I27" s="20">
        <v>2703861.1381308828</v>
      </c>
      <c r="J27" s="20">
        <v>232121.79235729203</v>
      </c>
      <c r="K27" s="152">
        <v>9.3910303590140032</v>
      </c>
      <c r="L27" s="153">
        <v>5.3416781086728777</v>
      </c>
      <c r="M27" s="68">
        <v>2472848.9691188713</v>
      </c>
      <c r="N27" s="20">
        <v>2734538.0560939666</v>
      </c>
      <c r="O27" s="20">
        <v>261689.08697509533</v>
      </c>
      <c r="P27" s="152">
        <v>10.582493724569872</v>
      </c>
      <c r="Q27" s="153">
        <v>5.5966099329240651</v>
      </c>
      <c r="S27" s="154">
        <v>5.7815750870904781</v>
      </c>
      <c r="T27" s="154">
        <v>5.7182984992590713</v>
      </c>
      <c r="U27" s="154">
        <v>5.0448280871595124</v>
      </c>
      <c r="V27" s="154">
        <v>5.5966099329240651</v>
      </c>
    </row>
    <row r="28" spans="1:22">
      <c r="A28" s="75"/>
      <c r="B28" s="66" t="s">
        <v>93</v>
      </c>
      <c r="C28" s="67">
        <v>1340839.6173861125</v>
      </c>
      <c r="D28" s="20">
        <v>1465277.5796333351</v>
      </c>
      <c r="E28" s="20">
        <v>124437.96224722266</v>
      </c>
      <c r="F28" s="152">
        <v>9.2806000534058732</v>
      </c>
      <c r="G28" s="153">
        <v>3.0993216984196152</v>
      </c>
      <c r="H28" s="67">
        <v>1341159.6452993341</v>
      </c>
      <c r="I28" s="20">
        <v>1476092.5573238728</v>
      </c>
      <c r="J28" s="20">
        <v>134932.91202453873</v>
      </c>
      <c r="K28" s="152">
        <v>10.060913515961255</v>
      </c>
      <c r="L28" s="153">
        <v>3.105129315870196</v>
      </c>
      <c r="M28" s="68">
        <v>1341478.6211642313</v>
      </c>
      <c r="N28" s="20">
        <v>1486904.4015485733</v>
      </c>
      <c r="O28" s="20">
        <v>145425.78038434195</v>
      </c>
      <c r="P28" s="152">
        <v>10.840708013529953</v>
      </c>
      <c r="Q28" s="153">
        <v>3.1101463817621826</v>
      </c>
      <c r="S28" s="154">
        <v>3.1377268287462554</v>
      </c>
      <c r="T28" s="154">
        <v>3.1344283482603923</v>
      </c>
      <c r="U28" s="154">
        <v>3.0993216984196152</v>
      </c>
      <c r="V28" s="154">
        <v>3.1101463817621826</v>
      </c>
    </row>
    <row r="29" spans="1:22">
      <c r="A29" s="75"/>
      <c r="B29" s="66" t="s">
        <v>94</v>
      </c>
      <c r="C29" s="67">
        <v>1588275.4855418198</v>
      </c>
      <c r="D29" s="20">
        <v>1465334.8041008227</v>
      </c>
      <c r="E29" s="20">
        <v>-122940.68144099717</v>
      </c>
      <c r="F29" s="152">
        <v>-7.7405136930044307</v>
      </c>
      <c r="G29" s="153">
        <v>-3.0620295826732771</v>
      </c>
      <c r="H29" s="67">
        <v>1588453.0688334939</v>
      </c>
      <c r="I29" s="20">
        <v>1471184.5044125533</v>
      </c>
      <c r="J29" s="20">
        <v>-117268.56442094059</v>
      </c>
      <c r="K29" s="152">
        <v>-7.3825640002734643</v>
      </c>
      <c r="L29" s="153">
        <v>-2.6986303915775145</v>
      </c>
      <c r="M29" s="68">
        <v>1588630.612570134</v>
      </c>
      <c r="N29" s="20">
        <v>1477028.6129046788</v>
      </c>
      <c r="O29" s="20">
        <v>-111601.99966545519</v>
      </c>
      <c r="P29" s="152">
        <v>-7.0250440084937154</v>
      </c>
      <c r="Q29" s="153">
        <v>-2.3867745769670425</v>
      </c>
      <c r="S29" s="154">
        <v>3.7167566782817305</v>
      </c>
      <c r="T29" s="154">
        <v>3.1345507591916726</v>
      </c>
      <c r="U29" s="154">
        <v>-3.0620295826732771</v>
      </c>
      <c r="V29" s="154">
        <v>-2.3867745769670425</v>
      </c>
    </row>
    <row r="30" spans="1:22">
      <c r="A30" s="75"/>
      <c r="B30" s="66" t="s">
        <v>95</v>
      </c>
      <c r="C30" s="67">
        <v>1648869.7642180845</v>
      </c>
      <c r="D30" s="20">
        <v>1826058.3445811984</v>
      </c>
      <c r="E30" s="20">
        <v>177188.5803631139</v>
      </c>
      <c r="F30" s="152">
        <v>10.74606280060809</v>
      </c>
      <c r="G30" s="153">
        <v>4.4131581867319065</v>
      </c>
      <c r="H30" s="67">
        <v>1649003.9109392473</v>
      </c>
      <c r="I30" s="20">
        <v>1830126.1877808496</v>
      </c>
      <c r="J30" s="20">
        <v>181122.27684160229</v>
      </c>
      <c r="K30" s="152">
        <v>10.983738464176099</v>
      </c>
      <c r="L30" s="153">
        <v>4.1680571710757857</v>
      </c>
      <c r="M30" s="68">
        <v>1649138.1779534272</v>
      </c>
      <c r="N30" s="20">
        <v>1834192.8457236947</v>
      </c>
      <c r="O30" s="20">
        <v>185054.66777026746</v>
      </c>
      <c r="P30" s="152">
        <v>11.221295476884748</v>
      </c>
      <c r="Q30" s="153">
        <v>3.9576690176446152</v>
      </c>
      <c r="S30" s="154">
        <v>3.8585546169805336</v>
      </c>
      <c r="T30" s="154">
        <v>3.9061875513477897</v>
      </c>
      <c r="U30" s="154">
        <v>4.4131581867319065</v>
      </c>
      <c r="V30" s="154">
        <v>3.9576690176446152</v>
      </c>
    </row>
    <row r="31" spans="1:22">
      <c r="A31" s="75"/>
      <c r="B31" s="66" t="s">
        <v>96</v>
      </c>
      <c r="C31" s="67">
        <v>1025830.6734407963</v>
      </c>
      <c r="D31" s="20">
        <v>1502862.4352288712</v>
      </c>
      <c r="E31" s="20">
        <v>477031.76178807486</v>
      </c>
      <c r="F31" s="152">
        <v>46.501998247725993</v>
      </c>
      <c r="G31" s="153">
        <v>11.8812206777206</v>
      </c>
      <c r="H31" s="67">
        <v>1025919.950750937</v>
      </c>
      <c r="I31" s="20">
        <v>1505559.5594098112</v>
      </c>
      <c r="J31" s="20">
        <v>479639.60865887417</v>
      </c>
      <c r="K31" s="152">
        <v>46.752147505055831</v>
      </c>
      <c r="L31" s="153">
        <v>11.037655584193784</v>
      </c>
      <c r="M31" s="68">
        <v>1026008.6764849296</v>
      </c>
      <c r="N31" s="20">
        <v>1508255.294376947</v>
      </c>
      <c r="O31" s="20">
        <v>482246.61789201736</v>
      </c>
      <c r="P31" s="152">
        <v>47.00219685706535</v>
      </c>
      <c r="Q31" s="153">
        <v>10.313560427800173</v>
      </c>
      <c r="S31" s="154">
        <v>2.4005678114440263</v>
      </c>
      <c r="T31" s="154">
        <v>3.2148274743245482</v>
      </c>
      <c r="U31" s="154">
        <v>11.8812206777206</v>
      </c>
      <c r="V31" s="154">
        <v>10.313560427800173</v>
      </c>
    </row>
    <row r="32" spans="1:22" ht="15.75" thickBot="1">
      <c r="A32" s="76"/>
      <c r="B32" s="70" t="s">
        <v>246</v>
      </c>
      <c r="C32" s="71">
        <v>1392898.9966496471</v>
      </c>
      <c r="D32" s="72">
        <v>1834916.5430209031</v>
      </c>
      <c r="E32" s="72">
        <v>442017.546371256</v>
      </c>
      <c r="F32" s="155">
        <v>31.73363951258813</v>
      </c>
      <c r="G32" s="156">
        <v>11.009136985294923</v>
      </c>
      <c r="H32" s="71">
        <v>1392957.0221438587</v>
      </c>
      <c r="I32" s="72">
        <v>1836928.9573385804</v>
      </c>
      <c r="J32" s="72">
        <v>443971.93519472168</v>
      </c>
      <c r="K32" s="155">
        <v>31.872622639241065</v>
      </c>
      <c r="L32" s="156">
        <v>10.216857034450161</v>
      </c>
      <c r="M32" s="73">
        <v>1393014.1703149281</v>
      </c>
      <c r="N32" s="72">
        <v>1838932.8963300693</v>
      </c>
      <c r="O32" s="72">
        <v>445918.72601514123</v>
      </c>
      <c r="P32" s="155">
        <v>32.011068912122361</v>
      </c>
      <c r="Q32" s="156">
        <v>9.5366344853757354</v>
      </c>
      <c r="S32" s="157">
        <v>3.259552070844566</v>
      </c>
      <c r="T32" s="157">
        <v>3.9251364445062267</v>
      </c>
      <c r="U32" s="157">
        <v>11.009136985294923</v>
      </c>
      <c r="V32" s="157">
        <v>9.5366344853757354</v>
      </c>
    </row>
    <row r="33" spans="1:22">
      <c r="A33" s="74" t="s">
        <v>98</v>
      </c>
      <c r="B33" s="77" t="s">
        <v>62</v>
      </c>
      <c r="C33" s="78">
        <v>766704.36149255978</v>
      </c>
      <c r="D33" s="79">
        <v>738815.12530346122</v>
      </c>
      <c r="E33" s="79">
        <v>-27889.236189098563</v>
      </c>
      <c r="F33" s="158">
        <v>-3.6375476115469061</v>
      </c>
      <c r="G33" s="159">
        <v>-0.6946249626098483</v>
      </c>
      <c r="H33" s="78">
        <v>767166.26470092649</v>
      </c>
      <c r="I33" s="79">
        <v>747449.00404421333</v>
      </c>
      <c r="J33" s="79">
        <v>-19717.260656713159</v>
      </c>
      <c r="K33" s="158">
        <v>-2.5701417755119578</v>
      </c>
      <c r="L33" s="159">
        <v>-0.45374136802650356</v>
      </c>
      <c r="M33" s="80">
        <v>767629.16198196984</v>
      </c>
      <c r="N33" s="79">
        <v>756082.64579247148</v>
      </c>
      <c r="O33" s="79">
        <v>-11546.516189498361</v>
      </c>
      <c r="P33" s="158">
        <v>-1.5041789396960883</v>
      </c>
      <c r="Q33" s="159">
        <v>-0.24693940409889922</v>
      </c>
      <c r="S33" s="160">
        <v>1.794180909915057</v>
      </c>
      <c r="T33" s="160">
        <v>1.5804261970992619</v>
      </c>
      <c r="U33" s="160">
        <v>-0.6946249626098483</v>
      </c>
      <c r="V33" s="160">
        <v>-0.24693940409889922</v>
      </c>
    </row>
    <row r="34" spans="1:22">
      <c r="A34" s="75"/>
      <c r="B34" s="66" t="s">
        <v>92</v>
      </c>
      <c r="C34" s="67">
        <v>4056195.3564115688</v>
      </c>
      <c r="D34" s="20">
        <v>4439540.3934868388</v>
      </c>
      <c r="E34" s="20">
        <v>383345.03707526997</v>
      </c>
      <c r="F34" s="152">
        <v>9.4508524218223879</v>
      </c>
      <c r="G34" s="153">
        <v>9.5478065530229586</v>
      </c>
      <c r="H34" s="67">
        <v>4058168.4950935394</v>
      </c>
      <c r="I34" s="20">
        <v>4498124.4333405811</v>
      </c>
      <c r="J34" s="20">
        <v>439955.93824704178</v>
      </c>
      <c r="K34" s="152">
        <v>10.841243747738989</v>
      </c>
      <c r="L34" s="153">
        <v>10.124439330958975</v>
      </c>
      <c r="M34" s="68">
        <v>4060145.3186515439</v>
      </c>
      <c r="N34" s="20">
        <v>4556698.8782705609</v>
      </c>
      <c r="O34" s="20">
        <v>496553.55961901695</v>
      </c>
      <c r="P34" s="152">
        <v>12.22994549820528</v>
      </c>
      <c r="Q34" s="153">
        <v>10.61953563335665</v>
      </c>
      <c r="S34" s="154">
        <v>9.4919875780964365</v>
      </c>
      <c r="T34" s="154">
        <v>9.4967816719575957</v>
      </c>
      <c r="U34" s="154">
        <v>9.5478065530229586</v>
      </c>
      <c r="V34" s="154">
        <v>10.61953563335665</v>
      </c>
    </row>
    <row r="35" spans="1:22">
      <c r="A35" s="75"/>
      <c r="B35" s="66" t="s">
        <v>93</v>
      </c>
      <c r="C35" s="67">
        <v>3959472.8773897062</v>
      </c>
      <c r="D35" s="20">
        <v>4368754.2967018373</v>
      </c>
      <c r="E35" s="20">
        <v>409281.41931213113</v>
      </c>
      <c r="F35" s="152">
        <v>10.336765321699868</v>
      </c>
      <c r="G35" s="153">
        <v>10.193792639531724</v>
      </c>
      <c r="H35" s="67">
        <v>3960586.887184198</v>
      </c>
      <c r="I35" s="20">
        <v>4406666.819481751</v>
      </c>
      <c r="J35" s="20">
        <v>446079.93229755294</v>
      </c>
      <c r="K35" s="152">
        <v>11.262975538827178</v>
      </c>
      <c r="L35" s="153">
        <v>10.265367094031328</v>
      </c>
      <c r="M35" s="68">
        <v>3961695.9392056013</v>
      </c>
      <c r="N35" s="20">
        <v>4444565.8019176573</v>
      </c>
      <c r="O35" s="20">
        <v>482869.86271205591</v>
      </c>
      <c r="P35" s="152">
        <v>12.188463479327011</v>
      </c>
      <c r="Q35" s="153">
        <v>10.326889444270787</v>
      </c>
      <c r="S35" s="154">
        <v>9.2656452822435007</v>
      </c>
      <c r="T35" s="154">
        <v>9.3453605681957193</v>
      </c>
      <c r="U35" s="154">
        <v>10.193792639531724</v>
      </c>
      <c r="V35" s="154">
        <v>10.326889444270787</v>
      </c>
    </row>
    <row r="36" spans="1:22">
      <c r="A36" s="75"/>
      <c r="B36" s="66" t="s">
        <v>94</v>
      </c>
      <c r="C36" s="67">
        <v>1842117.2045956743</v>
      </c>
      <c r="D36" s="20">
        <v>1789777.4584578446</v>
      </c>
      <c r="E36" s="20">
        <v>-52339.74613782973</v>
      </c>
      <c r="F36" s="152">
        <v>-2.8412820860287096</v>
      </c>
      <c r="G36" s="153">
        <v>-1.3036030803242318</v>
      </c>
      <c r="H36" s="67">
        <v>1842400.08000467</v>
      </c>
      <c r="I36" s="20">
        <v>1799169.9727493073</v>
      </c>
      <c r="J36" s="20">
        <v>-43230.107255362673</v>
      </c>
      <c r="K36" s="152">
        <v>-2.346401724822607</v>
      </c>
      <c r="L36" s="153">
        <v>-0.99482825466945879</v>
      </c>
      <c r="M36" s="68">
        <v>1842683.1482230481</v>
      </c>
      <c r="N36" s="20">
        <v>1808551.1745693965</v>
      </c>
      <c r="O36" s="20">
        <v>-34131.973653651541</v>
      </c>
      <c r="P36" s="152">
        <v>-1.8522974873116942</v>
      </c>
      <c r="Q36" s="153">
        <v>-0.72996296860674292</v>
      </c>
      <c r="S36" s="154">
        <v>4.3107769934653248</v>
      </c>
      <c r="T36" s="154">
        <v>3.828577793616081</v>
      </c>
      <c r="U36" s="154">
        <v>-1.3036030803242318</v>
      </c>
      <c r="V36" s="154">
        <v>-0.72996296860674292</v>
      </c>
    </row>
    <row r="37" spans="1:22">
      <c r="A37" s="75"/>
      <c r="B37" s="66" t="s">
        <v>95</v>
      </c>
      <c r="C37" s="67">
        <v>288717.73341653484</v>
      </c>
      <c r="D37" s="20">
        <v>318035.62546572275</v>
      </c>
      <c r="E37" s="20">
        <v>29317.892049187911</v>
      </c>
      <c r="F37" s="152">
        <v>10.154517251938525</v>
      </c>
      <c r="G37" s="153">
        <v>0.73020786694857698</v>
      </c>
      <c r="H37" s="67">
        <v>288749.43879720755</v>
      </c>
      <c r="I37" s="20">
        <v>319009.6282264787</v>
      </c>
      <c r="J37" s="20">
        <v>30260.189429271151</v>
      </c>
      <c r="K37" s="152">
        <v>10.479739650861546</v>
      </c>
      <c r="L37" s="153">
        <v>0.69635939735390495</v>
      </c>
      <c r="M37" s="68">
        <v>288780.85105894075</v>
      </c>
      <c r="N37" s="20">
        <v>319983.08964064898</v>
      </c>
      <c r="O37" s="20">
        <v>31202.238581708225</v>
      </c>
      <c r="P37" s="152">
        <v>10.804815647329672</v>
      </c>
      <c r="Q37" s="153">
        <v>0.66730623120127974</v>
      </c>
      <c r="S37" s="154">
        <v>0.6756344057329563</v>
      </c>
      <c r="T37" s="154">
        <v>0.68032152683721281</v>
      </c>
      <c r="U37" s="154">
        <v>0.73020786694857698</v>
      </c>
      <c r="V37" s="154">
        <v>0.66730623120127974</v>
      </c>
    </row>
    <row r="38" spans="1:22">
      <c r="A38" s="75"/>
      <c r="B38" s="66" t="s">
        <v>96</v>
      </c>
      <c r="C38" s="67">
        <v>33276.566100941294</v>
      </c>
      <c r="D38" s="20">
        <v>50334.545685713718</v>
      </c>
      <c r="E38" s="20">
        <v>17057.979584772424</v>
      </c>
      <c r="F38" s="152">
        <v>51.261237511793333</v>
      </c>
      <c r="G38" s="153">
        <v>0.42485560920107363</v>
      </c>
      <c r="H38" s="67">
        <v>33280.921805526501</v>
      </c>
      <c r="I38" s="20">
        <v>50467.111609197666</v>
      </c>
      <c r="J38" s="20">
        <v>17186.189803671165</v>
      </c>
      <c r="K38" s="152">
        <v>51.639764980359679</v>
      </c>
      <c r="L38" s="153">
        <v>0.39549536867464796</v>
      </c>
      <c r="M38" s="68">
        <v>33285.233420971941</v>
      </c>
      <c r="N38" s="20">
        <v>50599.540095638411</v>
      </c>
      <c r="O38" s="20">
        <v>17314.30667466647</v>
      </c>
      <c r="P38" s="152">
        <v>52.017981835023839</v>
      </c>
      <c r="Q38" s="153">
        <v>0.37029217319388569</v>
      </c>
      <c r="S38" s="154">
        <v>7.7871188223852E-2</v>
      </c>
      <c r="T38" s="154">
        <v>0.10767244997605752</v>
      </c>
      <c r="U38" s="154">
        <v>0.42485560920107363</v>
      </c>
      <c r="V38" s="154">
        <v>0.37029217319388569</v>
      </c>
    </row>
    <row r="39" spans="1:22" ht="15.75" thickBot="1">
      <c r="A39" s="76"/>
      <c r="B39" s="70" t="s">
        <v>246</v>
      </c>
      <c r="C39" s="56">
        <v>12858.580092080841</v>
      </c>
      <c r="D39" s="57">
        <v>18679.133888884731</v>
      </c>
      <c r="E39" s="57">
        <v>5820.5537968038898</v>
      </c>
      <c r="F39" s="147">
        <v>45.265913927686071</v>
      </c>
      <c r="G39" s="148">
        <v>0.14496997824034685</v>
      </c>
      <c r="H39" s="56">
        <v>12859.837229955941</v>
      </c>
      <c r="I39" s="57">
        <v>18723.381840707028</v>
      </c>
      <c r="J39" s="57">
        <v>5863.544610751087</v>
      </c>
      <c r="K39" s="147">
        <v>45.595791812142366</v>
      </c>
      <c r="L39" s="148">
        <v>0.13493419798458647</v>
      </c>
      <c r="M39" s="59">
        <v>12861.07291604588</v>
      </c>
      <c r="N39" s="57">
        <v>18767.350542131619</v>
      </c>
      <c r="O39" s="57">
        <v>5906.277626085739</v>
      </c>
      <c r="P39" s="147">
        <v>45.923677321795452</v>
      </c>
      <c r="Q39" s="148">
        <v>0.12631452236257923</v>
      </c>
      <c r="S39" s="161">
        <v>3.0090632176544781E-2</v>
      </c>
      <c r="T39" s="161">
        <v>3.9957211927669434E-2</v>
      </c>
      <c r="U39" s="161">
        <v>0.14496997824034685</v>
      </c>
      <c r="V39" s="161">
        <v>0.12631452236257923</v>
      </c>
    </row>
    <row r="40" spans="1:22">
      <c r="A40" s="74" t="s">
        <v>99</v>
      </c>
      <c r="B40" s="61" t="s">
        <v>62</v>
      </c>
      <c r="C40" s="62">
        <v>842187.19698879018</v>
      </c>
      <c r="D40" s="63">
        <v>781988.30978668819</v>
      </c>
      <c r="E40" s="63">
        <v>-60198.887202101992</v>
      </c>
      <c r="F40" s="149">
        <v>-7.1479223879608869</v>
      </c>
      <c r="G40" s="150">
        <v>-1.4993472567118784</v>
      </c>
      <c r="H40" s="62">
        <v>842533.98817951058</v>
      </c>
      <c r="I40" s="63">
        <v>788411.45811850624</v>
      </c>
      <c r="J40" s="63">
        <v>-54122.530061004334</v>
      </c>
      <c r="K40" s="149">
        <v>-6.423780027907072</v>
      </c>
      <c r="L40" s="150">
        <v>-1.2454889783370848</v>
      </c>
      <c r="M40" s="64">
        <v>842881.51111548627</v>
      </c>
      <c r="N40" s="63">
        <v>794834.71065872244</v>
      </c>
      <c r="O40" s="63">
        <v>-48046.800456763827</v>
      </c>
      <c r="P40" s="149">
        <v>-5.7003030465311468</v>
      </c>
      <c r="Q40" s="150">
        <v>-1.0275522139260465</v>
      </c>
      <c r="S40" s="151">
        <v>1.9708198717829029</v>
      </c>
      <c r="T40" s="151">
        <v>1.6727795199166118</v>
      </c>
      <c r="U40" s="151">
        <v>-1.4993472567118784</v>
      </c>
      <c r="V40" s="151">
        <v>-1.0275522139260465</v>
      </c>
    </row>
    <row r="41" spans="1:22">
      <c r="A41" s="75"/>
      <c r="B41" s="66" t="s">
        <v>92</v>
      </c>
      <c r="C41" s="67">
        <v>2212540.1752765691</v>
      </c>
      <c r="D41" s="20">
        <v>2337013.7668347023</v>
      </c>
      <c r="E41" s="20">
        <v>124473.59155813325</v>
      </c>
      <c r="F41" s="152">
        <v>5.6258228866996269</v>
      </c>
      <c r="G41" s="153">
        <v>3.1002091020254823</v>
      </c>
      <c r="H41" s="67">
        <v>2213524.6528279204</v>
      </c>
      <c r="I41" s="20">
        <v>2364418.9549409281</v>
      </c>
      <c r="J41" s="20">
        <v>150894.30211300775</v>
      </c>
      <c r="K41" s="152">
        <v>6.8169243979383998</v>
      </c>
      <c r="L41" s="153">
        <v>3.4724391111018575</v>
      </c>
      <c r="M41" s="68">
        <v>2214509.8489600616</v>
      </c>
      <c r="N41" s="20">
        <v>2391820.9655602002</v>
      </c>
      <c r="O41" s="20">
        <v>177311.1166001386</v>
      </c>
      <c r="P41" s="152">
        <v>8.0067883501807078</v>
      </c>
      <c r="Q41" s="153">
        <v>3.79206167078963</v>
      </c>
      <c r="S41" s="154">
        <v>5.1776115335687409</v>
      </c>
      <c r="T41" s="154">
        <v>4.9991908037482711</v>
      </c>
      <c r="U41" s="154">
        <v>3.1002091020254823</v>
      </c>
      <c r="V41" s="154">
        <v>3.79206167078963</v>
      </c>
    </row>
    <row r="42" spans="1:22">
      <c r="A42" s="75"/>
      <c r="B42" s="66" t="s">
        <v>93</v>
      </c>
      <c r="C42" s="67">
        <v>1070660.1664118997</v>
      </c>
      <c r="D42" s="20">
        <v>1160581.2329914954</v>
      </c>
      <c r="E42" s="20">
        <v>89921.066579595674</v>
      </c>
      <c r="F42" s="152">
        <v>8.3986562123580146</v>
      </c>
      <c r="G42" s="153">
        <v>2.2396245306676574</v>
      </c>
      <c r="H42" s="67">
        <v>1070917.7135953442</v>
      </c>
      <c r="I42" s="20">
        <v>1169306.4817439362</v>
      </c>
      <c r="J42" s="20">
        <v>98388.768148591975</v>
      </c>
      <c r="K42" s="152">
        <v>9.1873322197907967</v>
      </c>
      <c r="L42" s="153">
        <v>2.2641610838057735</v>
      </c>
      <c r="M42" s="68">
        <v>1071174.1483966447</v>
      </c>
      <c r="N42" s="20">
        <v>1178029.0502349085</v>
      </c>
      <c r="O42" s="20">
        <v>106854.90183826373</v>
      </c>
      <c r="P42" s="152">
        <v>9.9754929670592141</v>
      </c>
      <c r="Q42" s="153">
        <v>2.2852508368702673</v>
      </c>
      <c r="S42" s="154">
        <v>2.5054742454355399</v>
      </c>
      <c r="T42" s="154">
        <v>2.4826413559523921</v>
      </c>
      <c r="U42" s="154">
        <v>2.2396245306676574</v>
      </c>
      <c r="V42" s="154">
        <v>2.2852508368702673</v>
      </c>
    </row>
    <row r="43" spans="1:22">
      <c r="A43" s="75"/>
      <c r="B43" s="66" t="s">
        <v>94</v>
      </c>
      <c r="C43" s="67">
        <v>2168345.0139372055</v>
      </c>
      <c r="D43" s="20">
        <v>2026253.8034343333</v>
      </c>
      <c r="E43" s="20">
        <v>-142091.21050287224</v>
      </c>
      <c r="F43" s="152">
        <v>-6.5529797882518688</v>
      </c>
      <c r="G43" s="153">
        <v>-3.539003403088032</v>
      </c>
      <c r="H43" s="67">
        <v>2168595.4998245267</v>
      </c>
      <c r="I43" s="20">
        <v>2034571.6636489318</v>
      </c>
      <c r="J43" s="20">
        <v>-134023.83617559494</v>
      </c>
      <c r="K43" s="152">
        <v>-6.1802136999011372</v>
      </c>
      <c r="L43" s="153">
        <v>-3.0842093043878114</v>
      </c>
      <c r="M43" s="68">
        <v>2168846.1798576051</v>
      </c>
      <c r="N43" s="20">
        <v>2042881.5562945018</v>
      </c>
      <c r="O43" s="20">
        <v>-125964.62356310338</v>
      </c>
      <c r="P43" s="152">
        <v>-5.807909511193345</v>
      </c>
      <c r="Q43" s="153">
        <v>-2.6939406284733489</v>
      </c>
      <c r="S43" s="154">
        <v>5.0741895122940237</v>
      </c>
      <c r="T43" s="154">
        <v>4.3344329091859164</v>
      </c>
      <c r="U43" s="154">
        <v>-3.539003403088032</v>
      </c>
      <c r="V43" s="154">
        <v>-2.6939406284733489</v>
      </c>
    </row>
    <row r="44" spans="1:22">
      <c r="A44" s="75"/>
      <c r="B44" s="66" t="s">
        <v>95</v>
      </c>
      <c r="C44" s="67">
        <v>2524124.1291912235</v>
      </c>
      <c r="D44" s="20">
        <v>2754505.8073945306</v>
      </c>
      <c r="E44" s="20">
        <v>230381.67820330709</v>
      </c>
      <c r="F44" s="152">
        <v>9.1271928959026951</v>
      </c>
      <c r="G44" s="153">
        <v>5.7380153232923208</v>
      </c>
      <c r="H44" s="67">
        <v>2524337.474539889</v>
      </c>
      <c r="I44" s="20">
        <v>2760963.9153635548</v>
      </c>
      <c r="J44" s="20">
        <v>236626.44082366582</v>
      </c>
      <c r="K44" s="152">
        <v>9.3738037489141863</v>
      </c>
      <c r="L44" s="153">
        <v>5.4453408533713938</v>
      </c>
      <c r="M44" s="68">
        <v>2524549.8562635137</v>
      </c>
      <c r="N44" s="20">
        <v>2767417.7199173626</v>
      </c>
      <c r="O44" s="20">
        <v>242867.86365384888</v>
      </c>
      <c r="P44" s="152">
        <v>9.6202443002376672</v>
      </c>
      <c r="Q44" s="153">
        <v>5.1940901083220767</v>
      </c>
      <c r="S44" s="154">
        <v>5.9067556600756443</v>
      </c>
      <c r="T44" s="154">
        <v>5.8922631507852481</v>
      </c>
      <c r="U44" s="154">
        <v>5.7380153232923208</v>
      </c>
      <c r="V44" s="154">
        <v>5.1940901083220767</v>
      </c>
    </row>
    <row r="45" spans="1:22">
      <c r="A45" s="75"/>
      <c r="B45" s="66" t="s">
        <v>96</v>
      </c>
      <c r="C45" s="67">
        <v>1407961.3379753246</v>
      </c>
      <c r="D45" s="20">
        <v>2012151.2785416276</v>
      </c>
      <c r="E45" s="20">
        <v>604189.94056630298</v>
      </c>
      <c r="F45" s="152">
        <v>42.912395693701342</v>
      </c>
      <c r="G45" s="153">
        <v>15.048293615124631</v>
      </c>
      <c r="H45" s="67">
        <v>1408082.539428391</v>
      </c>
      <c r="I45" s="20">
        <v>2015839.9046128164</v>
      </c>
      <c r="J45" s="20">
        <v>607757.36518442538</v>
      </c>
      <c r="K45" s="152">
        <v>43.16205536013134</v>
      </c>
      <c r="L45" s="153">
        <v>13.985951857520055</v>
      </c>
      <c r="M45" s="68">
        <v>1408203.1153202537</v>
      </c>
      <c r="N45" s="20">
        <v>2019526.8794844539</v>
      </c>
      <c r="O45" s="20">
        <v>611323.76416420029</v>
      </c>
      <c r="P45" s="152">
        <v>43.411618502574676</v>
      </c>
      <c r="Q45" s="153">
        <v>13.074066978878248</v>
      </c>
      <c r="S45" s="154">
        <v>3.2947997707696657</v>
      </c>
      <c r="T45" s="154">
        <v>4.3042656873433458</v>
      </c>
      <c r="U45" s="154">
        <v>15.048293615124631</v>
      </c>
      <c r="V45" s="154">
        <v>13.074066978878248</v>
      </c>
    </row>
    <row r="46" spans="1:22" ht="15.75" thickBot="1">
      <c r="A46" s="76"/>
      <c r="B46" s="70" t="s">
        <v>246</v>
      </c>
      <c r="C46" s="71">
        <v>876735.56014845031</v>
      </c>
      <c r="D46" s="72">
        <v>1205090.31717599</v>
      </c>
      <c r="E46" s="72">
        <v>328354.75702753966</v>
      </c>
      <c r="F46" s="155">
        <v>37.451972060075001</v>
      </c>
      <c r="G46" s="156">
        <v>8.1781877881680582</v>
      </c>
      <c r="H46" s="71">
        <v>876777.53026717994</v>
      </c>
      <c r="I46" s="72">
        <v>1206568.9363796525</v>
      </c>
      <c r="J46" s="72">
        <v>329791.40611247253</v>
      </c>
      <c r="K46" s="155">
        <v>37.614034886589231</v>
      </c>
      <c r="L46" s="156">
        <v>7.5892897283329974</v>
      </c>
      <c r="M46" s="73">
        <v>876819.61084470898</v>
      </c>
      <c r="N46" s="72">
        <v>1208040.6954224643</v>
      </c>
      <c r="O46" s="72">
        <v>331221.0845777553</v>
      </c>
      <c r="P46" s="155">
        <v>37.775282450476226</v>
      </c>
      <c r="Q46" s="156">
        <v>7.0836550097259625</v>
      </c>
      <c r="S46" s="157">
        <v>2.0516672189001217</v>
      </c>
      <c r="T46" s="157">
        <v>2.5778523502118547</v>
      </c>
      <c r="U46" s="157">
        <v>8.1781877881680582</v>
      </c>
      <c r="V46" s="157">
        <v>7.0836550097259625</v>
      </c>
    </row>
    <row r="47" spans="1:22">
      <c r="A47" s="74" t="s">
        <v>23</v>
      </c>
      <c r="B47" s="77" t="s">
        <v>62</v>
      </c>
      <c r="C47" s="78">
        <v>599606.31937190273</v>
      </c>
      <c r="D47" s="79">
        <v>566479.68974383164</v>
      </c>
      <c r="E47" s="79">
        <v>-33126.629628071096</v>
      </c>
      <c r="F47" s="158">
        <v>-5.5247299032424761</v>
      </c>
      <c r="G47" s="159">
        <v>-0.82507042182043078</v>
      </c>
      <c r="H47" s="78">
        <v>599941.3754653486</v>
      </c>
      <c r="I47" s="79">
        <v>572705.40721173817</v>
      </c>
      <c r="J47" s="79">
        <v>-27235.968253610423</v>
      </c>
      <c r="K47" s="158">
        <v>-4.5397716122653922</v>
      </c>
      <c r="L47" s="159">
        <v>-0.62676482854691296</v>
      </c>
      <c r="M47" s="80">
        <v>600276.92269532429</v>
      </c>
      <c r="N47" s="79">
        <v>578930.89754389436</v>
      </c>
      <c r="O47" s="79">
        <v>-21346.025151429931</v>
      </c>
      <c r="P47" s="158">
        <v>-3.5560296163949463</v>
      </c>
      <c r="Q47" s="159">
        <v>-0.4565164629975918</v>
      </c>
      <c r="S47" s="160">
        <v>1.4031512871365588</v>
      </c>
      <c r="T47" s="160">
        <v>1.2117772242793301</v>
      </c>
      <c r="U47" s="160">
        <v>-0.82507042182043078</v>
      </c>
      <c r="V47" s="160">
        <v>-0.4565164629975918</v>
      </c>
    </row>
    <row r="48" spans="1:22">
      <c r="A48" s="75"/>
      <c r="B48" s="66" t="s">
        <v>92</v>
      </c>
      <c r="C48" s="67">
        <v>1763694.1542601134</v>
      </c>
      <c r="D48" s="20">
        <v>2007202.5784125403</v>
      </c>
      <c r="E48" s="20">
        <v>243508.42415242689</v>
      </c>
      <c r="F48" s="152">
        <v>13.806726271913114</v>
      </c>
      <c r="G48" s="153">
        <v>6.0649574221103748</v>
      </c>
      <c r="H48" s="67">
        <v>1764593.197424846</v>
      </c>
      <c r="I48" s="20">
        <v>2033201.1380071091</v>
      </c>
      <c r="J48" s="20">
        <v>268607.94058226305</v>
      </c>
      <c r="K48" s="152">
        <v>15.222088636307523</v>
      </c>
      <c r="L48" s="153">
        <v>6.1813117219750149</v>
      </c>
      <c r="M48" s="68">
        <v>1765494.5757261338</v>
      </c>
      <c r="N48" s="20">
        <v>2059195.6256709672</v>
      </c>
      <c r="O48" s="20">
        <v>293701.04994483339</v>
      </c>
      <c r="P48" s="152">
        <v>16.635624599641517</v>
      </c>
      <c r="Q48" s="153">
        <v>6.2812333232218949</v>
      </c>
      <c r="S48" s="154">
        <v>4.1272575733651733</v>
      </c>
      <c r="T48" s="154">
        <v>4.2936797436373535</v>
      </c>
      <c r="U48" s="154">
        <v>6.0649574221103748</v>
      </c>
      <c r="V48" s="154">
        <v>6.2812333232218949</v>
      </c>
    </row>
    <row r="49" spans="1:22">
      <c r="A49" s="75"/>
      <c r="B49" s="66" t="s">
        <v>93</v>
      </c>
      <c r="C49" s="67">
        <v>1399396.8785652136</v>
      </c>
      <c r="D49" s="20">
        <v>1563411.6179246898</v>
      </c>
      <c r="E49" s="20">
        <v>164014.73935947614</v>
      </c>
      <c r="F49" s="152">
        <v>11.720387680701322</v>
      </c>
      <c r="G49" s="153">
        <v>4.0850431120653266</v>
      </c>
      <c r="H49" s="67">
        <v>1399803.9282897341</v>
      </c>
      <c r="I49" s="20">
        <v>1577212.4220669577</v>
      </c>
      <c r="J49" s="20">
        <v>177408.49377722363</v>
      </c>
      <c r="K49" s="152">
        <v>12.6738102524101</v>
      </c>
      <c r="L49" s="153">
        <v>4.0825941324963821</v>
      </c>
      <c r="M49" s="68">
        <v>1400209.8457863273</v>
      </c>
      <c r="N49" s="20">
        <v>1591007.2873532143</v>
      </c>
      <c r="O49" s="20">
        <v>190797.44156688708</v>
      </c>
      <c r="P49" s="152">
        <v>13.626346232392002</v>
      </c>
      <c r="Q49" s="153">
        <v>4.0804867676861223</v>
      </c>
      <c r="S49" s="154">
        <v>3.2747579002011333</v>
      </c>
      <c r="T49" s="154">
        <v>3.3443504243401097</v>
      </c>
      <c r="U49" s="154">
        <v>4.0850431120653266</v>
      </c>
      <c r="V49" s="154">
        <v>4.0804867676861223</v>
      </c>
    </row>
    <row r="50" spans="1:22">
      <c r="A50" s="75"/>
      <c r="B50" s="66" t="s">
        <v>94</v>
      </c>
      <c r="C50" s="67">
        <v>568987.46772700641</v>
      </c>
      <c r="D50" s="20">
        <v>557257.89217628154</v>
      </c>
      <c r="E50" s="20">
        <v>-11729.575550724869</v>
      </c>
      <c r="F50" s="152">
        <v>-2.0614822322154525</v>
      </c>
      <c r="G50" s="153">
        <v>-0.29214338905188214</v>
      </c>
      <c r="H50" s="67">
        <v>569074.23452140251</v>
      </c>
      <c r="I50" s="20">
        <v>560142.12854587985</v>
      </c>
      <c r="J50" s="20">
        <v>-8932.1059755226597</v>
      </c>
      <c r="K50" s="152">
        <v>-1.5695853780894959</v>
      </c>
      <c r="L50" s="153">
        <v>-0.20554914068712052</v>
      </c>
      <c r="M50" s="68">
        <v>569160.8673210243</v>
      </c>
      <c r="N50" s="20">
        <v>563023.62057786935</v>
      </c>
      <c r="O50" s="20">
        <v>-6137.2467431549449</v>
      </c>
      <c r="P50" s="152">
        <v>-1.0782973840141663</v>
      </c>
      <c r="Q50" s="153">
        <v>-0.13125414009647135</v>
      </c>
      <c r="S50" s="154">
        <v>1.3314994720903399</v>
      </c>
      <c r="T50" s="154">
        <v>1.1920505430556394</v>
      </c>
      <c r="U50" s="154">
        <v>-0.29214338905188214</v>
      </c>
      <c r="V50" s="154">
        <v>-0.13125414009647135</v>
      </c>
    </row>
    <row r="51" spans="1:22">
      <c r="A51" s="75"/>
      <c r="B51" s="66" t="s">
        <v>95</v>
      </c>
      <c r="C51" s="67">
        <v>91728.786688642605</v>
      </c>
      <c r="D51" s="20">
        <v>102610.71448190985</v>
      </c>
      <c r="E51" s="20">
        <v>10881.927793267241</v>
      </c>
      <c r="F51" s="152">
        <v>11.863154617104062</v>
      </c>
      <c r="G51" s="153">
        <v>0.27103139846748325</v>
      </c>
      <c r="H51" s="67">
        <v>91739.229855019672</v>
      </c>
      <c r="I51" s="20">
        <v>102931.54732303112</v>
      </c>
      <c r="J51" s="20">
        <v>11192.317468011446</v>
      </c>
      <c r="K51" s="152">
        <v>12.200143260085412</v>
      </c>
      <c r="L51" s="153">
        <v>0.25756201775389076</v>
      </c>
      <c r="M51" s="68">
        <v>91749.623573552934</v>
      </c>
      <c r="N51" s="20">
        <v>103252.21195902445</v>
      </c>
      <c r="O51" s="20">
        <v>11502.588385471521</v>
      </c>
      <c r="P51" s="152">
        <v>12.536932509865</v>
      </c>
      <c r="Q51" s="153">
        <v>0.24599994274347958</v>
      </c>
      <c r="S51" s="154">
        <v>0.21465645199414984</v>
      </c>
      <c r="T51" s="154">
        <v>0.21949829628037698</v>
      </c>
      <c r="U51" s="154">
        <v>0.27103139846748325</v>
      </c>
      <c r="V51" s="154">
        <v>0.24599994274347958</v>
      </c>
    </row>
    <row r="52" spans="1:22">
      <c r="A52" s="75"/>
      <c r="B52" s="66" t="s">
        <v>96</v>
      </c>
      <c r="C52" s="67">
        <v>13905.307137302249</v>
      </c>
      <c r="D52" s="20">
        <v>21485.133911503755</v>
      </c>
      <c r="E52" s="20">
        <v>7579.8267742015069</v>
      </c>
      <c r="F52" s="152">
        <v>54.510315373530538</v>
      </c>
      <c r="G52" s="153">
        <v>0.18878741798159759</v>
      </c>
      <c r="H52" s="67">
        <v>13906.791838832485</v>
      </c>
      <c r="I52" s="20">
        <v>21529.623265749637</v>
      </c>
      <c r="J52" s="20">
        <v>7622.8314269171515</v>
      </c>
      <c r="K52" s="152">
        <v>54.813730695469374</v>
      </c>
      <c r="L52" s="153">
        <v>0.17541959910679544</v>
      </c>
      <c r="M52" s="68">
        <v>13908.262284713055</v>
      </c>
      <c r="N52" s="20">
        <v>21574.106814765415</v>
      </c>
      <c r="O52" s="20">
        <v>7665.8445300523599</v>
      </c>
      <c r="P52" s="152">
        <v>55.117198490555474</v>
      </c>
      <c r="Q52" s="153">
        <v>0.16394547490329875</v>
      </c>
      <c r="S52" s="154">
        <v>3.254010002458476E-2</v>
      </c>
      <c r="T52" s="154">
        <v>4.5959628219548569E-2</v>
      </c>
      <c r="U52" s="154">
        <v>0.18878741798159759</v>
      </c>
      <c r="V52" s="154">
        <v>0.16394547490329875</v>
      </c>
    </row>
    <row r="53" spans="1:22" ht="15.75" thickBot="1">
      <c r="A53" s="76"/>
      <c r="B53" s="70" t="s">
        <v>246</v>
      </c>
      <c r="C53" s="56">
        <v>8049.7207487759333</v>
      </c>
      <c r="D53" s="57">
        <v>11526.658596578043</v>
      </c>
      <c r="E53" s="57">
        <v>3476.9378478021099</v>
      </c>
      <c r="F53" s="147">
        <v>43.193272863916732</v>
      </c>
      <c r="G53" s="148">
        <v>8.659856462725056E-2</v>
      </c>
      <c r="H53" s="56">
        <v>8050.3125022965833</v>
      </c>
      <c r="I53" s="57">
        <v>11546.922353273289</v>
      </c>
      <c r="J53" s="57">
        <v>3496.6098509767053</v>
      </c>
      <c r="K53" s="147">
        <v>43.434461084326806</v>
      </c>
      <c r="L53" s="148">
        <v>8.0465363057263345E-2</v>
      </c>
      <c r="M53" s="59">
        <v>8050.8809184740985</v>
      </c>
      <c r="N53" s="57">
        <v>11567.042437250693</v>
      </c>
      <c r="O53" s="57">
        <v>3516.1615187765947</v>
      </c>
      <c r="P53" s="147">
        <v>43.674245767418711</v>
      </c>
      <c r="Q53" s="148">
        <v>7.5198338261706896E-2</v>
      </c>
      <c r="S53" s="161">
        <v>1.8837319862750085E-2</v>
      </c>
      <c r="T53" s="161">
        <v>2.4657092941307721E-2</v>
      </c>
      <c r="U53" s="161">
        <v>8.659856462725056E-2</v>
      </c>
      <c r="V53" s="161">
        <v>7.5198338261706896E-2</v>
      </c>
    </row>
    <row r="54" spans="1:22">
      <c r="A54" s="74" t="s">
        <v>100</v>
      </c>
      <c r="B54" s="61" t="s">
        <v>62</v>
      </c>
      <c r="C54" s="62">
        <v>1598010.3730871079</v>
      </c>
      <c r="D54" s="63">
        <v>1549661.2821208513</v>
      </c>
      <c r="E54" s="63">
        <v>-48349.090966256568</v>
      </c>
      <c r="F54" s="149">
        <v>-3.0255805456915548</v>
      </c>
      <c r="G54" s="150">
        <v>-1.2042095838316196</v>
      </c>
      <c r="H54" s="62">
        <v>1598892.833447631</v>
      </c>
      <c r="I54" s="63">
        <v>1565694.7999177151</v>
      </c>
      <c r="J54" s="63">
        <v>-33198.033529915847</v>
      </c>
      <c r="K54" s="149">
        <v>-2.0763138614069714</v>
      </c>
      <c r="L54" s="150">
        <v>-0.76396622289035498</v>
      </c>
      <c r="M54" s="64">
        <v>1599777.275897325</v>
      </c>
      <c r="N54" s="63">
        <v>1581728.9993000638</v>
      </c>
      <c r="O54" s="63">
        <v>-18048.276597261196</v>
      </c>
      <c r="P54" s="149">
        <v>-1.1281743320886843</v>
      </c>
      <c r="Q54" s="150">
        <v>-0.38598921049392443</v>
      </c>
      <c r="S54" s="151">
        <v>3.7395374922057885</v>
      </c>
      <c r="T54" s="151">
        <v>3.3149365829351005</v>
      </c>
      <c r="U54" s="151">
        <v>-1.2042095838316196</v>
      </c>
      <c r="V54" s="151">
        <v>-0.38598921049392443</v>
      </c>
    </row>
    <row r="55" spans="1:22">
      <c r="A55" s="75"/>
      <c r="B55" s="66" t="s">
        <v>92</v>
      </c>
      <c r="C55" s="67">
        <v>1254607.4593161577</v>
      </c>
      <c r="D55" s="20">
        <v>1360351.4657947915</v>
      </c>
      <c r="E55" s="20">
        <v>105744.00647863373</v>
      </c>
      <c r="F55" s="152">
        <v>8.4284535129634151</v>
      </c>
      <c r="G55" s="153">
        <v>2.6337195485887075</v>
      </c>
      <c r="H55" s="67">
        <v>1255355.1361155857</v>
      </c>
      <c r="I55" s="20">
        <v>1380726.2178763538</v>
      </c>
      <c r="J55" s="20">
        <v>125371.08176076808</v>
      </c>
      <c r="K55" s="152">
        <v>9.9869015670498396</v>
      </c>
      <c r="L55" s="153">
        <v>2.8850887118401758</v>
      </c>
      <c r="M55" s="68">
        <v>1256103.5614784062</v>
      </c>
      <c r="N55" s="20">
        <v>1401097.5581511273</v>
      </c>
      <c r="O55" s="20">
        <v>144993.99667272111</v>
      </c>
      <c r="P55" s="152">
        <v>11.543156242791508</v>
      </c>
      <c r="Q55" s="153">
        <v>3.1009120455609103</v>
      </c>
      <c r="S55" s="154">
        <v>2.9359331523300924</v>
      </c>
      <c r="T55" s="154">
        <v>2.9099770973440804</v>
      </c>
      <c r="U55" s="154">
        <v>2.6337195485887075</v>
      </c>
      <c r="V55" s="154">
        <v>3.1009120455609103</v>
      </c>
    </row>
    <row r="56" spans="1:22">
      <c r="A56" s="75"/>
      <c r="B56" s="66" t="s">
        <v>93</v>
      </c>
      <c r="C56" s="67">
        <v>547588.595270394</v>
      </c>
      <c r="D56" s="20">
        <v>608090.1873693564</v>
      </c>
      <c r="E56" s="20">
        <v>60501.592098962399</v>
      </c>
      <c r="F56" s="152">
        <v>11.048731222951655</v>
      </c>
      <c r="G56" s="153">
        <v>1.5068865946929475</v>
      </c>
      <c r="H56" s="67">
        <v>547750.9261958336</v>
      </c>
      <c r="I56" s="20">
        <v>613600.5336517503</v>
      </c>
      <c r="J56" s="20">
        <v>65849.607455916703</v>
      </c>
      <c r="K56" s="152">
        <v>12.021815812023648</v>
      </c>
      <c r="L56" s="153">
        <v>1.5153571021481154</v>
      </c>
      <c r="M56" s="68">
        <v>547912.61015870899</v>
      </c>
      <c r="N56" s="20">
        <v>619108.85012305831</v>
      </c>
      <c r="O56" s="20">
        <v>71196.239964349312</v>
      </c>
      <c r="P56" s="152">
        <v>12.994086765721002</v>
      </c>
      <c r="Q56" s="153">
        <v>1.52263737237634</v>
      </c>
      <c r="S56" s="154">
        <v>1.2814235231540123</v>
      </c>
      <c r="T56" s="154">
        <v>1.300787747033185</v>
      </c>
      <c r="U56" s="154">
        <v>1.5068865946929475</v>
      </c>
      <c r="V56" s="154">
        <v>1.52263737237634</v>
      </c>
    </row>
    <row r="57" spans="1:22">
      <c r="A57" s="75"/>
      <c r="B57" s="66" t="s">
        <v>94</v>
      </c>
      <c r="C57" s="67">
        <v>814150.20412273903</v>
      </c>
      <c r="D57" s="20">
        <v>791633.66148137255</v>
      </c>
      <c r="E57" s="20">
        <v>-22516.542641366483</v>
      </c>
      <c r="F57" s="152">
        <v>-2.7656496955163758</v>
      </c>
      <c r="G57" s="153">
        <v>-0.56080964298605929</v>
      </c>
      <c r="H57" s="67">
        <v>814264.97567073582</v>
      </c>
      <c r="I57" s="20">
        <v>795439.57857589144</v>
      </c>
      <c r="J57" s="20">
        <v>-18825.397094844375</v>
      </c>
      <c r="K57" s="152">
        <v>-2.3119497531300914</v>
      </c>
      <c r="L57" s="153">
        <v>-0.4332174524734802</v>
      </c>
      <c r="M57" s="68">
        <v>814379.7265389876</v>
      </c>
      <c r="N57" s="20">
        <v>799242.01938794507</v>
      </c>
      <c r="O57" s="20">
        <v>-15137.70715104253</v>
      </c>
      <c r="P57" s="152">
        <v>-1.8588020621996448</v>
      </c>
      <c r="Q57" s="153">
        <v>-0.32374235847016031</v>
      </c>
      <c r="S57" s="154">
        <v>1.9052099184577818</v>
      </c>
      <c r="T57" s="154">
        <v>1.6934122411163215</v>
      </c>
      <c r="U57" s="154">
        <v>-0.56080964298605929</v>
      </c>
      <c r="V57" s="154">
        <v>-0.32374235847016031</v>
      </c>
    </row>
    <row r="58" spans="1:22">
      <c r="A58" s="75"/>
      <c r="B58" s="66" t="s">
        <v>95</v>
      </c>
      <c r="C58" s="67">
        <v>735808.3224273005</v>
      </c>
      <c r="D58" s="20">
        <v>847808.36344629619</v>
      </c>
      <c r="E58" s="20">
        <v>112000.04101899569</v>
      </c>
      <c r="F58" s="152">
        <v>15.221360999224299</v>
      </c>
      <c r="G58" s="153">
        <v>2.7895358545362856</v>
      </c>
      <c r="H58" s="67">
        <v>735888.49946582958</v>
      </c>
      <c r="I58" s="20">
        <v>850247.68427327438</v>
      </c>
      <c r="J58" s="20">
        <v>114359.18480744481</v>
      </c>
      <c r="K58" s="152">
        <v>15.540286998703801</v>
      </c>
      <c r="L58" s="153">
        <v>2.6316786020302918</v>
      </c>
      <c r="M58" s="68">
        <v>735968.51486629678</v>
      </c>
      <c r="N58" s="20">
        <v>852686.11181447632</v>
      </c>
      <c r="O58" s="20">
        <v>116717.59694817953</v>
      </c>
      <c r="P58" s="152">
        <v>15.859047580232911</v>
      </c>
      <c r="Q58" s="153">
        <v>2.4961792254232429</v>
      </c>
      <c r="S58" s="154">
        <v>1.7218804427898078</v>
      </c>
      <c r="T58" s="154">
        <v>1.8135775809408727</v>
      </c>
      <c r="U58" s="154">
        <v>2.7895358545362856</v>
      </c>
      <c r="V58" s="154">
        <v>2.4961792254232429</v>
      </c>
    </row>
    <row r="59" spans="1:22">
      <c r="A59" s="75"/>
      <c r="B59" s="66" t="s">
        <v>96</v>
      </c>
      <c r="C59" s="67">
        <v>327638.58106474101</v>
      </c>
      <c r="D59" s="20">
        <v>494619.68126534228</v>
      </c>
      <c r="E59" s="20">
        <v>166981.10020060127</v>
      </c>
      <c r="F59" s="152">
        <v>50.965029715961933</v>
      </c>
      <c r="G59" s="153">
        <v>4.1589249593265034</v>
      </c>
      <c r="H59" s="67">
        <v>327675.33272601711</v>
      </c>
      <c r="I59" s="20">
        <v>495732.86969938711</v>
      </c>
      <c r="J59" s="20">
        <v>168057.53697337001</v>
      </c>
      <c r="K59" s="152">
        <v>51.287820653222582</v>
      </c>
      <c r="L59" s="153">
        <v>3.8674062315801008</v>
      </c>
      <c r="M59" s="68">
        <v>327711.76858787978</v>
      </c>
      <c r="N59" s="20">
        <v>496845.53447801864</v>
      </c>
      <c r="O59" s="20">
        <v>169133.76589013886</v>
      </c>
      <c r="P59" s="152">
        <v>51.610525498959504</v>
      </c>
      <c r="Q59" s="153">
        <v>3.6171768762512024</v>
      </c>
      <c r="S59" s="154">
        <v>0.76671389524072731</v>
      </c>
      <c r="T59" s="154">
        <v>1.0580588771129369</v>
      </c>
      <c r="U59" s="154">
        <v>4.1589249593265034</v>
      </c>
      <c r="V59" s="154">
        <v>3.6171768762512024</v>
      </c>
    </row>
    <row r="60" spans="1:22" ht="15.75" thickBot="1">
      <c r="A60" s="76"/>
      <c r="B60" s="70" t="s">
        <v>246</v>
      </c>
      <c r="C60" s="71">
        <v>296978.22851613467</v>
      </c>
      <c r="D60" s="72">
        <v>405027.50969946862</v>
      </c>
      <c r="E60" s="72">
        <v>108049.28118333395</v>
      </c>
      <c r="F60" s="155">
        <v>36.382896390488668</v>
      </c>
      <c r="G60" s="156">
        <v>2.691136013661485</v>
      </c>
      <c r="H60" s="71">
        <v>296996.40544089355</v>
      </c>
      <c r="I60" s="72">
        <v>405651.27667984739</v>
      </c>
      <c r="J60" s="72">
        <v>108654.87123895384</v>
      </c>
      <c r="K60" s="155">
        <v>36.584574509464119</v>
      </c>
      <c r="L60" s="156">
        <v>2.5004086915045614</v>
      </c>
      <c r="M60" s="73">
        <v>297014.06265267025</v>
      </c>
      <c r="N60" s="72">
        <v>406272.10313813342</v>
      </c>
      <c r="O60" s="72">
        <v>109258.04048546316</v>
      </c>
      <c r="P60" s="155">
        <v>36.785477263152373</v>
      </c>
      <c r="Q60" s="156">
        <v>2.3366455273351012</v>
      </c>
      <c r="S60" s="157">
        <v>0.6949649630618554</v>
      </c>
      <c r="T60" s="157">
        <v>0.86640901756307986</v>
      </c>
      <c r="U60" s="157">
        <v>2.691136013661485</v>
      </c>
      <c r="V60" s="157">
        <v>2.3366455273351012</v>
      </c>
    </row>
    <row r="61" spans="1:22">
      <c r="C61" s="81"/>
      <c r="D61" s="81"/>
      <c r="E61" s="81"/>
      <c r="F61" s="12"/>
      <c r="H61" s="81"/>
      <c r="I61" s="81"/>
      <c r="J61" s="81"/>
      <c r="K61" s="12"/>
      <c r="M61" s="81"/>
      <c r="N61" s="81"/>
      <c r="O61" s="81"/>
      <c r="P61" s="12"/>
    </row>
    <row r="62" spans="1:22">
      <c r="A62" t="s">
        <v>101</v>
      </c>
    </row>
    <row r="63" spans="1:22">
      <c r="A63" t="s">
        <v>102</v>
      </c>
    </row>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32"/>
  <sheetViews>
    <sheetView tabSelected="1" workbookViewId="0">
      <selection activeCell="L18" sqref="L18"/>
    </sheetView>
  </sheetViews>
  <sheetFormatPr defaultRowHeight="15"/>
  <cols>
    <col min="2" max="2" width="19.85546875" customWidth="1"/>
    <col min="3" max="11" width="14" customWidth="1"/>
  </cols>
  <sheetData>
    <row r="2" spans="2:13">
      <c r="B2" s="1" t="s">
        <v>378</v>
      </c>
    </row>
    <row r="3" spans="2:13">
      <c r="B3" t="s">
        <v>229</v>
      </c>
    </row>
    <row r="4" spans="2:13" ht="30" customHeight="1">
      <c r="B4" s="345" t="s">
        <v>397</v>
      </c>
      <c r="C4" s="345" t="s">
        <v>379</v>
      </c>
      <c r="D4" s="344" t="s">
        <v>380</v>
      </c>
      <c r="E4" s="344"/>
      <c r="F4" s="344"/>
      <c r="G4" s="344"/>
      <c r="H4" s="344"/>
      <c r="I4" s="344"/>
      <c r="J4" s="344"/>
      <c r="K4" s="344"/>
    </row>
    <row r="5" spans="2:13" ht="45">
      <c r="B5" s="346"/>
      <c r="C5" s="346"/>
      <c r="D5" s="300" t="s">
        <v>381</v>
      </c>
      <c r="E5" s="300" t="s">
        <v>382</v>
      </c>
      <c r="F5" s="300" t="s">
        <v>383</v>
      </c>
      <c r="G5" s="300" t="s">
        <v>384</v>
      </c>
      <c r="H5" s="300" t="s">
        <v>385</v>
      </c>
      <c r="I5" s="300" t="s">
        <v>386</v>
      </c>
      <c r="J5" s="300" t="s">
        <v>387</v>
      </c>
      <c r="K5" s="300" t="s">
        <v>91</v>
      </c>
    </row>
    <row r="6" spans="2:13">
      <c r="B6" s="302" t="s">
        <v>388</v>
      </c>
      <c r="C6" s="301"/>
      <c r="D6" s="301"/>
      <c r="E6" s="301"/>
      <c r="F6" s="301"/>
      <c r="G6" s="301"/>
      <c r="H6" s="301"/>
      <c r="I6" s="301"/>
      <c r="J6" s="301"/>
      <c r="K6" s="301"/>
    </row>
    <row r="7" spans="2:13">
      <c r="B7" s="301" t="s">
        <v>389</v>
      </c>
      <c r="C7" s="303">
        <f>[1]Raw!F34</f>
        <v>243.1</v>
      </c>
      <c r="D7" s="303">
        <f>[1]Raw!G34</f>
        <v>996.29000000000008</v>
      </c>
      <c r="E7" s="303">
        <f>[1]Raw!H34</f>
        <v>158.1</v>
      </c>
      <c r="F7" s="303">
        <f>[1]Raw!I34</f>
        <v>349.64600000000002</v>
      </c>
      <c r="G7" s="303">
        <f>[1]Raw!J34</f>
        <v>46.061</v>
      </c>
      <c r="H7" s="303">
        <f>[1]Raw!K34</f>
        <v>80.837999999999994</v>
      </c>
      <c r="I7" s="303">
        <f>[1]Raw!L34</f>
        <v>75.555999999999997</v>
      </c>
      <c r="J7" s="303">
        <f>[1]Raw!M34</f>
        <v>56.37</v>
      </c>
      <c r="K7" s="303">
        <f>[1]Raw!N34</f>
        <v>229.71900000000005</v>
      </c>
      <c r="M7" s="81"/>
    </row>
    <row r="8" spans="2:13">
      <c r="B8" s="301" t="s">
        <v>390</v>
      </c>
      <c r="C8" s="303">
        <f>[1]Raw!F35</f>
        <v>545.54999999999995</v>
      </c>
      <c r="D8" s="303">
        <f>[1]Raw!G35</f>
        <v>832.26</v>
      </c>
      <c r="E8" s="303">
        <f>[1]Raw!H35</f>
        <v>133.44999999999999</v>
      </c>
      <c r="F8" s="303">
        <f>[1]Raw!I35</f>
        <v>310.61099999999999</v>
      </c>
      <c r="G8" s="303">
        <f>[1]Raw!J35</f>
        <v>32.290999999999997</v>
      </c>
      <c r="H8" s="303">
        <f>[1]Raw!K35</f>
        <v>62.841999999999999</v>
      </c>
      <c r="I8" s="303">
        <f>[1]Raw!L35</f>
        <v>81.275000000000006</v>
      </c>
      <c r="J8" s="303">
        <f>[1]Raw!M35</f>
        <v>48.478999999999999</v>
      </c>
      <c r="K8" s="303">
        <f>[1]Raw!N35</f>
        <v>163.31200000000001</v>
      </c>
    </row>
    <row r="9" spans="2:13">
      <c r="B9" s="301" t="s">
        <v>391</v>
      </c>
      <c r="C9" s="303">
        <f>[1]Raw!F36</f>
        <v>755.2</v>
      </c>
      <c r="D9" s="303">
        <f>[1]Raw!G36</f>
        <v>484.16999999999985</v>
      </c>
      <c r="E9" s="303">
        <f>[1]Raw!H36</f>
        <v>55.48</v>
      </c>
      <c r="F9" s="303">
        <f>[1]Raw!I36</f>
        <v>217.20400000000001</v>
      </c>
      <c r="G9" s="303">
        <f>[1]Raw!J36</f>
        <v>16.488</v>
      </c>
      <c r="H9" s="303">
        <f>[1]Raw!K36</f>
        <v>37.896000000000001</v>
      </c>
      <c r="I9" s="303">
        <f>[1]Raw!L36</f>
        <v>38.4</v>
      </c>
      <c r="J9" s="303">
        <f>[1]Raw!M36</f>
        <v>32.081000000000003</v>
      </c>
      <c r="K9" s="303">
        <f>[1]Raw!N36</f>
        <v>86.62099999999981</v>
      </c>
    </row>
    <row r="10" spans="2:13">
      <c r="B10" s="301" t="s">
        <v>125</v>
      </c>
      <c r="C10" s="303">
        <f>[1]Raw!F37</f>
        <v>525.89</v>
      </c>
      <c r="D10" s="303">
        <f>[1]Raw!G37</f>
        <v>777.95999999999992</v>
      </c>
      <c r="E10" s="303">
        <f>[1]Raw!H37</f>
        <v>118.18</v>
      </c>
      <c r="F10" s="303">
        <f>[1]Raw!I37</f>
        <v>294.76</v>
      </c>
      <c r="G10" s="303">
        <f>[1]Raw!J37</f>
        <v>31.452000000000002</v>
      </c>
      <c r="H10" s="303">
        <f>[1]Raw!K37</f>
        <v>60.555</v>
      </c>
      <c r="I10" s="303">
        <f>[1]Raw!L37</f>
        <v>67.921999999999997</v>
      </c>
      <c r="J10" s="303">
        <f>[1]Raw!M37</f>
        <v>45.963000000000001</v>
      </c>
      <c r="K10" s="303">
        <f>[1]Raw!N37</f>
        <v>159.12799999999993</v>
      </c>
    </row>
    <row r="11" spans="2:13">
      <c r="B11" s="301"/>
      <c r="C11" s="304"/>
      <c r="D11" s="304"/>
      <c r="E11" s="304"/>
      <c r="F11" s="304"/>
      <c r="G11" s="304"/>
      <c r="H11" s="304"/>
      <c r="I11" s="304"/>
      <c r="J11" s="304"/>
      <c r="K11" s="304"/>
    </row>
    <row r="12" spans="2:13">
      <c r="B12" s="302" t="s">
        <v>392</v>
      </c>
      <c r="C12" s="304"/>
      <c r="D12" s="304"/>
      <c r="E12" s="304"/>
      <c r="F12" s="304"/>
      <c r="G12" s="304"/>
      <c r="H12" s="304"/>
      <c r="I12" s="304"/>
      <c r="J12" s="304"/>
      <c r="K12" s="304"/>
    </row>
    <row r="13" spans="2:13">
      <c r="B13" s="301" t="s">
        <v>389</v>
      </c>
      <c r="C13" s="303">
        <f>[1]Raw!F38</f>
        <v>571.54999999999995</v>
      </c>
      <c r="D13" s="303">
        <f>[1]Raw!G38</f>
        <v>2010.3100000000002</v>
      </c>
      <c r="E13" s="303">
        <f>[1]Raw!H38</f>
        <v>375.66</v>
      </c>
      <c r="F13" s="303">
        <f>[1]Raw!I38</f>
        <v>522.15599999999995</v>
      </c>
      <c r="G13" s="303">
        <f>[1]Raw!J38</f>
        <v>78.623000000000005</v>
      </c>
      <c r="H13" s="303">
        <f>[1]Raw!K38</f>
        <v>136.994</v>
      </c>
      <c r="I13" s="303">
        <f>[1]Raw!L38</f>
        <v>251.30199999999999</v>
      </c>
      <c r="J13" s="303">
        <f>[1]Raw!M38</f>
        <v>109.14100000000001</v>
      </c>
      <c r="K13" s="303">
        <f>[1]Raw!N38</f>
        <v>536.4340000000002</v>
      </c>
    </row>
    <row r="14" spans="2:13">
      <c r="B14" s="301" t="s">
        <v>390</v>
      </c>
      <c r="C14" s="303">
        <f>[1]Raw!F39</f>
        <v>957.35</v>
      </c>
      <c r="D14" s="303">
        <f>[1]Raw!G39</f>
        <v>1544.4700000000003</v>
      </c>
      <c r="E14" s="303">
        <f>[1]Raw!H39</f>
        <v>284</v>
      </c>
      <c r="F14" s="303">
        <f>[1]Raw!I39</f>
        <v>482.37299999999999</v>
      </c>
      <c r="G14" s="303">
        <f>[1]Raw!J39</f>
        <v>59.558999999999997</v>
      </c>
      <c r="H14" s="303">
        <f>[1]Raw!K39</f>
        <v>92.762</v>
      </c>
      <c r="I14" s="303">
        <f>[1]Raw!L39</f>
        <v>224.37700000000001</v>
      </c>
      <c r="J14" s="303">
        <f>[1]Raw!M39</f>
        <v>89.619</v>
      </c>
      <c r="K14" s="303">
        <f>[1]Raw!N39</f>
        <v>311.78000000000043</v>
      </c>
    </row>
    <row r="15" spans="2:13">
      <c r="B15" s="301" t="s">
        <v>391</v>
      </c>
      <c r="C15" s="303">
        <f>[1]Raw!F40</f>
        <v>1425.4</v>
      </c>
      <c r="D15" s="303">
        <f>[1]Raw!G40</f>
        <v>1019.69</v>
      </c>
      <c r="E15" s="303">
        <f>[1]Raw!H40</f>
        <v>162.94</v>
      </c>
      <c r="F15" s="303">
        <f>[1]Raw!I40</f>
        <v>388.952</v>
      </c>
      <c r="G15" s="303">
        <f>[1]Raw!J40</f>
        <v>37.265999999999998</v>
      </c>
      <c r="H15" s="303">
        <f>[1]Raw!K40</f>
        <v>58.646000000000001</v>
      </c>
      <c r="I15" s="303">
        <f>[1]Raw!L40</f>
        <v>141.006</v>
      </c>
      <c r="J15" s="303">
        <f>[1]Raw!M40</f>
        <v>65.656999999999996</v>
      </c>
      <c r="K15" s="303">
        <f>[1]Raw!N40</f>
        <v>165.22300000000007</v>
      </c>
    </row>
    <row r="16" spans="2:13">
      <c r="B16" s="301" t="s">
        <v>125</v>
      </c>
      <c r="C16" s="303">
        <f>[1]Raw!F41</f>
        <v>875.29</v>
      </c>
      <c r="D16" s="303">
        <f>[1]Raw!G41</f>
        <v>1648.3200000000002</v>
      </c>
      <c r="E16" s="303">
        <f>[1]Raw!H41</f>
        <v>302.33</v>
      </c>
      <c r="F16" s="303">
        <f>[1]Raw!I41</f>
        <v>485.50400000000002</v>
      </c>
      <c r="G16" s="303">
        <f>[1]Raw!J41</f>
        <v>63.712000000000003</v>
      </c>
      <c r="H16" s="303">
        <f>[1]Raw!K41</f>
        <v>104.47799999999999</v>
      </c>
      <c r="I16" s="303">
        <f>[1]Raw!L41</f>
        <v>224.11799999999999</v>
      </c>
      <c r="J16" s="303">
        <f>[1]Raw!M41</f>
        <v>93.738</v>
      </c>
      <c r="K16" s="303">
        <f>[1]Raw!N41</f>
        <v>374.44000000000005</v>
      </c>
    </row>
    <row r="17" spans="2:11">
      <c r="B17" s="301"/>
      <c r="C17" s="304"/>
      <c r="D17" s="304"/>
      <c r="E17" s="304"/>
      <c r="F17" s="304"/>
      <c r="G17" s="304"/>
      <c r="H17" s="304"/>
      <c r="I17" s="304"/>
      <c r="J17" s="304"/>
      <c r="K17" s="304"/>
    </row>
    <row r="18" spans="2:11">
      <c r="B18" s="302" t="s">
        <v>393</v>
      </c>
      <c r="C18" s="304"/>
      <c r="D18" s="304"/>
      <c r="E18" s="304"/>
      <c r="F18" s="304"/>
      <c r="G18" s="304"/>
      <c r="H18" s="304"/>
      <c r="I18" s="304"/>
      <c r="J18" s="304"/>
      <c r="K18" s="304"/>
    </row>
    <row r="19" spans="2:11">
      <c r="B19" s="301" t="s">
        <v>389</v>
      </c>
      <c r="C19" s="303">
        <f>[1]Raw!F42</f>
        <v>858.46</v>
      </c>
      <c r="D19" s="303">
        <f>[1]Raw!G42</f>
        <v>3114.11</v>
      </c>
      <c r="E19" s="303">
        <f>[1]Raw!H42</f>
        <v>608.11</v>
      </c>
      <c r="F19" s="303">
        <f>[1]Raw!I42</f>
        <v>679.654</v>
      </c>
      <c r="G19" s="303">
        <f>[1]Raw!J42</f>
        <v>134.37799999999999</v>
      </c>
      <c r="H19" s="303">
        <f>[1]Raw!K42</f>
        <v>223.571</v>
      </c>
      <c r="I19" s="303">
        <f>[1]Raw!L42</f>
        <v>400.80099999999999</v>
      </c>
      <c r="J19" s="303">
        <f>[1]Raw!M42</f>
        <v>184.864</v>
      </c>
      <c r="K19" s="303">
        <f>[1]Raw!N42</f>
        <v>882.73200000000043</v>
      </c>
    </row>
    <row r="20" spans="2:11">
      <c r="B20" s="301" t="s">
        <v>390</v>
      </c>
      <c r="C20" s="303">
        <f>[1]Raw!F43</f>
        <v>1423.13</v>
      </c>
      <c r="D20" s="303">
        <f>[1]Raw!G43</f>
        <v>2434.69</v>
      </c>
      <c r="E20" s="303">
        <f>[1]Raw!H43</f>
        <v>424.06</v>
      </c>
      <c r="F20" s="303">
        <f>[1]Raw!I43</f>
        <v>667.41899999999998</v>
      </c>
      <c r="G20" s="303">
        <f>[1]Raw!J43</f>
        <v>102.096</v>
      </c>
      <c r="H20" s="303">
        <f>[1]Raw!K43</f>
        <v>187.02500000000001</v>
      </c>
      <c r="I20" s="303">
        <f>[1]Raw!L43</f>
        <v>381.279</v>
      </c>
      <c r="J20" s="303">
        <f>[1]Raw!M43</f>
        <v>139.006</v>
      </c>
      <c r="K20" s="303">
        <f>[1]Raw!N43</f>
        <v>533.80499999999984</v>
      </c>
    </row>
    <row r="21" spans="2:11">
      <c r="B21" s="301" t="s">
        <v>391</v>
      </c>
      <c r="C21" s="303">
        <f>[1]Raw!F44</f>
        <v>2474.54</v>
      </c>
      <c r="D21" s="303">
        <f>[1]Raw!G44</f>
        <v>1462.27</v>
      </c>
      <c r="E21" s="303">
        <f>[1]Raw!H44</f>
        <v>206.87</v>
      </c>
      <c r="F21" s="303">
        <f>[1]Raw!I44</f>
        <v>447.71699999999998</v>
      </c>
      <c r="G21" s="303">
        <f>[1]Raw!J44</f>
        <v>45.341999999999999</v>
      </c>
      <c r="H21" s="303">
        <f>[1]Raw!K44</f>
        <v>161.99</v>
      </c>
      <c r="I21" s="303">
        <f>[1]Raw!L44</f>
        <v>220.232</v>
      </c>
      <c r="J21" s="303">
        <f>[1]Raw!M44</f>
        <v>79.356999999999999</v>
      </c>
      <c r="K21" s="303">
        <f>[1]Raw!N44</f>
        <v>300.76199999999994</v>
      </c>
    </row>
    <row r="22" spans="2:11">
      <c r="B22" s="301" t="s">
        <v>125</v>
      </c>
      <c r="C22" s="303">
        <f>[1]Raw!F45</f>
        <v>1193.24</v>
      </c>
      <c r="D22" s="303">
        <f>[1]Raw!G45</f>
        <v>2733.71</v>
      </c>
      <c r="E22" s="303">
        <f>[1]Raw!H45</f>
        <v>508.6</v>
      </c>
      <c r="F22" s="303">
        <f>[1]Raw!I45</f>
        <v>657.31799999999998</v>
      </c>
      <c r="G22" s="303">
        <f>[1]Raw!J45</f>
        <v>115.496</v>
      </c>
      <c r="H22" s="303">
        <f>[1]Raw!K45</f>
        <v>205.19800000000001</v>
      </c>
      <c r="I22" s="303">
        <f>[1]Raw!L45</f>
        <v>379.67599999999999</v>
      </c>
      <c r="J22" s="303">
        <f>[1]Raw!M45</f>
        <v>159.64699999999999</v>
      </c>
      <c r="K22" s="303">
        <f>[1]Raw!N45</f>
        <v>707.77499999999986</v>
      </c>
    </row>
    <row r="23" spans="2:11">
      <c r="B23" s="301"/>
      <c r="C23" s="304"/>
      <c r="D23" s="304"/>
      <c r="E23" s="304"/>
      <c r="F23" s="304"/>
      <c r="G23" s="304"/>
      <c r="H23" s="304"/>
      <c r="I23" s="304"/>
      <c r="J23" s="304"/>
      <c r="K23" s="304"/>
    </row>
    <row r="24" spans="2:11">
      <c r="B24" s="302" t="s">
        <v>394</v>
      </c>
      <c r="C24" s="304"/>
      <c r="D24" s="304"/>
      <c r="E24" s="304"/>
      <c r="F24" s="304"/>
      <c r="G24" s="304"/>
      <c r="H24" s="304"/>
      <c r="I24" s="304"/>
      <c r="J24" s="304"/>
      <c r="K24" s="304"/>
    </row>
    <row r="25" spans="2:11">
      <c r="B25" s="301" t="s">
        <v>389</v>
      </c>
      <c r="C25" s="305">
        <f>[1]Raw!F46</f>
        <v>1254.1500000000001</v>
      </c>
      <c r="D25" s="305">
        <f>[1]Raw!G46</f>
        <v>7056.76</v>
      </c>
      <c r="E25" s="305">
        <f>[1]Raw!H46</f>
        <v>2485.86</v>
      </c>
      <c r="F25" s="305">
        <f>[1]Raw!I46</f>
        <v>896.65800000000002</v>
      </c>
      <c r="G25" s="305">
        <f>[1]Raw!J46</f>
        <v>232.274</v>
      </c>
      <c r="H25" s="305">
        <f>[1]Raw!K46</f>
        <v>371.01900000000001</v>
      </c>
      <c r="I25" s="305">
        <f>[1]Raw!L46</f>
        <v>654.65899999999999</v>
      </c>
      <c r="J25" s="305">
        <f>[1]Raw!M46</f>
        <v>343.38099999999997</v>
      </c>
      <c r="K25" s="305">
        <f>[1]Raw!N46</f>
        <v>2072.9090000000006</v>
      </c>
    </row>
    <row r="26" spans="2:11">
      <c r="B26" s="301" t="s">
        <v>390</v>
      </c>
      <c r="C26" s="305">
        <f>[1]Raw!F47</f>
        <v>2532.35</v>
      </c>
      <c r="D26" s="305">
        <f>[1]Raw!G47</f>
        <v>4144.99</v>
      </c>
      <c r="E26" s="305">
        <f>[1]Raw!H47</f>
        <v>630.99</v>
      </c>
      <c r="F26" s="305">
        <f>[1]Raw!I47</f>
        <v>937.32899999999995</v>
      </c>
      <c r="G26" s="305">
        <f>[1]Raw!J47</f>
        <v>185.82</v>
      </c>
      <c r="H26" s="305">
        <f>[1]Raw!K47</f>
        <v>297.46600000000001</v>
      </c>
      <c r="I26" s="305">
        <f>[1]Raw!L47</f>
        <v>784.79100000000005</v>
      </c>
      <c r="J26" s="305">
        <f>[1]Raw!M47</f>
        <v>233.34899999999999</v>
      </c>
      <c r="K26" s="305">
        <f>[1]Raw!N47</f>
        <v>1075.2449999999994</v>
      </c>
    </row>
    <row r="27" spans="2:11">
      <c r="B27" s="301" t="s">
        <v>391</v>
      </c>
      <c r="C27" s="305">
        <f>[1]Raw!F48</f>
        <v>3072.11</v>
      </c>
      <c r="D27" s="305">
        <f>[1]Raw!G48</f>
        <v>2524.9599999999996</v>
      </c>
      <c r="E27" s="305">
        <f>[1]Raw!H48</f>
        <v>355.42</v>
      </c>
      <c r="F27" s="305">
        <f>[1]Raw!I48</f>
        <v>679.81600000000003</v>
      </c>
      <c r="G27" s="305">
        <f>[1]Raw!J48</f>
        <v>88.655000000000001</v>
      </c>
      <c r="H27" s="305">
        <f>[1]Raw!K48</f>
        <v>199.96100000000001</v>
      </c>
      <c r="I27" s="305">
        <f>[1]Raw!L48</f>
        <v>489.49299999999999</v>
      </c>
      <c r="J27" s="305">
        <f>[1]Raw!M48</f>
        <v>184.47800000000001</v>
      </c>
      <c r="K27" s="305">
        <f>[1]Raw!N48</f>
        <v>527.13699999999949</v>
      </c>
    </row>
    <row r="28" spans="2:11">
      <c r="B28" s="301" t="s">
        <v>125</v>
      </c>
      <c r="C28" s="305">
        <f>[1]Raw!F49</f>
        <v>1587.18</v>
      </c>
      <c r="D28" s="305">
        <f>[1]Raw!G49</f>
        <v>6284.37</v>
      </c>
      <c r="E28" s="305">
        <f>[1]Raw!H49</f>
        <v>2020.43</v>
      </c>
      <c r="F28" s="305">
        <f>[1]Raw!I49</f>
        <v>897.59100000000001</v>
      </c>
      <c r="G28" s="305">
        <f>[1]Raw!J49</f>
        <v>217.44200000000001</v>
      </c>
      <c r="H28" s="305">
        <f>[1]Raw!K49</f>
        <v>349.517</v>
      </c>
      <c r="I28" s="305">
        <f>[1]Raw!L49</f>
        <v>676.24300000000005</v>
      </c>
      <c r="J28" s="305">
        <f>[1]Raw!M49</f>
        <v>314.62799999999999</v>
      </c>
      <c r="K28" s="305">
        <f>[1]Raw!N49</f>
        <v>1808.5190000000002</v>
      </c>
    </row>
    <row r="30" spans="2:11">
      <c r="B30" t="s">
        <v>398</v>
      </c>
    </row>
    <row r="31" spans="2:11">
      <c r="B31" t="s">
        <v>399</v>
      </c>
    </row>
    <row r="32" spans="2:11">
      <c r="B32" t="s">
        <v>400</v>
      </c>
    </row>
  </sheetData>
  <mergeCells count="3">
    <mergeCell ref="D4:K4"/>
    <mergeCell ref="C4:C5"/>
    <mergeCell ref="B4:B5"/>
  </mergeCells>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37"/>
  <sheetViews>
    <sheetView workbookViewId="0">
      <selection activeCell="A33" sqref="A33:N37"/>
    </sheetView>
  </sheetViews>
  <sheetFormatPr defaultColWidth="8.85546875" defaultRowHeight="15"/>
  <cols>
    <col min="2" max="2" width="11.28515625" customWidth="1"/>
    <col min="3" max="3" width="9.42578125" customWidth="1"/>
    <col min="4" max="4" width="9.140625" customWidth="1"/>
    <col min="5" max="5" width="15.42578125" customWidth="1"/>
    <col min="6" max="6" width="10.7109375" customWidth="1"/>
    <col min="7" max="7" width="10.140625" customWidth="1"/>
    <col min="8" max="8" width="12" customWidth="1"/>
  </cols>
  <sheetData>
    <row r="1" spans="1:14">
      <c r="A1" s="185" t="s">
        <v>294</v>
      </c>
      <c r="B1" s="13"/>
      <c r="C1" s="13"/>
      <c r="D1" s="13"/>
      <c r="E1" s="13"/>
      <c r="F1" s="13"/>
      <c r="G1" s="13"/>
      <c r="H1" s="13"/>
      <c r="I1" s="13"/>
      <c r="J1" s="13"/>
      <c r="K1" s="13"/>
      <c r="L1" s="13"/>
      <c r="M1" s="13"/>
      <c r="N1" s="13"/>
    </row>
    <row r="2" spans="1:14">
      <c r="A2" s="185"/>
      <c r="B2" s="13"/>
      <c r="C2" s="13"/>
      <c r="D2" s="13"/>
      <c r="E2" s="13"/>
      <c r="F2" s="13"/>
      <c r="G2" s="13"/>
      <c r="H2" s="13"/>
      <c r="I2" s="13"/>
      <c r="J2" s="13"/>
      <c r="K2" s="13"/>
      <c r="L2" s="13"/>
      <c r="M2" s="13"/>
      <c r="N2" s="13"/>
    </row>
    <row r="3" spans="1:14">
      <c r="A3" s="185"/>
      <c r="B3" s="306" t="s">
        <v>295</v>
      </c>
      <c r="C3" s="306"/>
      <c r="D3" s="306"/>
      <c r="E3" s="306"/>
      <c r="F3" s="306" t="s">
        <v>253</v>
      </c>
      <c r="G3" s="306"/>
      <c r="H3" s="306"/>
      <c r="I3" s="13"/>
      <c r="J3" s="13"/>
      <c r="K3" s="13"/>
      <c r="L3" s="13"/>
      <c r="M3" s="13"/>
      <c r="N3" s="13"/>
    </row>
    <row r="4" spans="1:14" ht="45">
      <c r="A4" s="185" t="s">
        <v>198</v>
      </c>
      <c r="B4" s="186" t="s">
        <v>254</v>
      </c>
      <c r="C4" s="186" t="s">
        <v>255</v>
      </c>
      <c r="D4" s="186" t="s">
        <v>256</v>
      </c>
      <c r="E4" s="186" t="s">
        <v>257</v>
      </c>
      <c r="F4" s="186" t="s">
        <v>255</v>
      </c>
      <c r="G4" s="186" t="s">
        <v>256</v>
      </c>
      <c r="H4" s="186" t="s">
        <v>257</v>
      </c>
      <c r="I4" s="13"/>
      <c r="J4" s="13"/>
      <c r="K4" s="13"/>
      <c r="L4" s="13"/>
      <c r="M4" s="13"/>
      <c r="N4" s="13"/>
    </row>
    <row r="5" spans="1:14">
      <c r="A5" s="13">
        <v>1986</v>
      </c>
      <c r="B5" s="187">
        <v>2971.8736739659366</v>
      </c>
      <c r="C5" s="187">
        <v>708.36714765419742</v>
      </c>
      <c r="D5" s="187">
        <v>834.04435483280156</v>
      </c>
      <c r="E5" s="187">
        <v>957.3399452554745</v>
      </c>
      <c r="F5" s="188">
        <v>23.835708558529955</v>
      </c>
      <c r="G5" s="188">
        <v>28.064596491403936</v>
      </c>
      <c r="H5" s="188">
        <v>32.213345864661655</v>
      </c>
      <c r="I5" s="13"/>
      <c r="J5" s="13"/>
      <c r="K5" s="13"/>
      <c r="L5" s="13"/>
      <c r="M5" s="13"/>
      <c r="N5" s="13"/>
    </row>
    <row r="6" spans="1:14">
      <c r="A6" s="13">
        <v>1987</v>
      </c>
      <c r="B6" s="187">
        <v>2943.0205076291081</v>
      </c>
      <c r="C6" s="187">
        <v>711.15446733916781</v>
      </c>
      <c r="D6" s="187">
        <v>830.9496040683365</v>
      </c>
      <c r="E6" s="187">
        <v>1044.8952288732394</v>
      </c>
      <c r="F6" s="188">
        <v>24.164101660034728</v>
      </c>
      <c r="G6" s="188">
        <v>28.234584227812533</v>
      </c>
      <c r="H6" s="188">
        <v>35.504177635343936</v>
      </c>
      <c r="I6" s="13"/>
      <c r="J6" s="13"/>
      <c r="K6" s="13"/>
      <c r="L6" s="13"/>
      <c r="M6" s="13"/>
      <c r="N6" s="13"/>
    </row>
    <row r="7" spans="1:14">
      <c r="A7" s="13">
        <v>1988</v>
      </c>
      <c r="B7" s="187">
        <v>3030.847816286278</v>
      </c>
      <c r="C7" s="187">
        <v>708.97403503240287</v>
      </c>
      <c r="D7" s="187">
        <v>825.37796338900625</v>
      </c>
      <c r="E7" s="187">
        <v>1067.4277261200339</v>
      </c>
      <c r="F7" s="188">
        <v>23.391937768129658</v>
      </c>
      <c r="G7" s="188">
        <v>27.232576936190366</v>
      </c>
      <c r="H7" s="188">
        <v>35.218783351120599</v>
      </c>
      <c r="I7" s="13"/>
      <c r="J7" s="13"/>
      <c r="K7" s="13"/>
      <c r="L7" s="13"/>
      <c r="M7" s="13"/>
      <c r="N7" s="13"/>
    </row>
    <row r="8" spans="1:14">
      <c r="A8" s="13">
        <v>1989</v>
      </c>
      <c r="B8" s="187">
        <v>3132.5385672043008</v>
      </c>
      <c r="C8" s="187">
        <v>702.84670125495097</v>
      </c>
      <c r="D8" s="187">
        <v>817.32122485466596</v>
      </c>
      <c r="E8" s="187">
        <v>1092.423064516129</v>
      </c>
      <c r="F8" s="188">
        <v>22.436968809045538</v>
      </c>
      <c r="G8" s="188">
        <v>26.091337977814629</v>
      </c>
      <c r="H8" s="188">
        <v>34.873411486553053</v>
      </c>
      <c r="I8" s="13"/>
      <c r="J8" s="13"/>
      <c r="K8" s="13"/>
      <c r="L8" s="13"/>
      <c r="M8" s="13"/>
      <c r="N8" s="13"/>
    </row>
    <row r="9" spans="1:14">
      <c r="A9" s="13">
        <v>1990</v>
      </c>
      <c r="B9" s="187">
        <v>3033.4397271104312</v>
      </c>
      <c r="C9" s="187">
        <v>694.93586136379668</v>
      </c>
      <c r="D9" s="187">
        <v>805.87830631393649</v>
      </c>
      <c r="E9" s="187">
        <v>1053.9892884468247</v>
      </c>
      <c r="F9" s="188">
        <v>22.909169915361165</v>
      </c>
      <c r="G9" s="188">
        <v>26.566484875623136</v>
      </c>
      <c r="H9" s="188">
        <v>34.745680918830224</v>
      </c>
      <c r="I9" s="13"/>
      <c r="J9" s="13"/>
      <c r="K9" s="13"/>
      <c r="L9" s="13"/>
      <c r="M9" s="13"/>
      <c r="N9" s="13"/>
    </row>
    <row r="10" spans="1:14">
      <c r="A10" s="13">
        <v>1991</v>
      </c>
      <c r="B10" s="187">
        <v>2907.5725721977483</v>
      </c>
      <c r="C10" s="187">
        <v>690.48349808592718</v>
      </c>
      <c r="D10" s="187">
        <v>800.60918009762884</v>
      </c>
      <c r="E10" s="187">
        <v>1035.0272834067548</v>
      </c>
      <c r="F10" s="188">
        <v>23.747764877421822</v>
      </c>
      <c r="G10" s="188">
        <v>27.535312024644394</v>
      </c>
      <c r="H10" s="188">
        <v>35.597642284278677</v>
      </c>
      <c r="I10" s="13"/>
      <c r="J10" s="13"/>
      <c r="K10" s="13"/>
      <c r="L10" s="13"/>
      <c r="M10" s="13"/>
      <c r="N10" s="13"/>
    </row>
    <row r="11" spans="1:14">
      <c r="A11" s="13">
        <v>1992</v>
      </c>
      <c r="B11" s="187">
        <v>2827.1045462105008</v>
      </c>
      <c r="C11" s="187">
        <v>687.14492886261803</v>
      </c>
      <c r="D11" s="187">
        <v>796.67885910315476</v>
      </c>
      <c r="E11" s="187">
        <v>958.95997148966489</v>
      </c>
      <c r="F11" s="188">
        <v>24.305607296471539</v>
      </c>
      <c r="G11" s="188">
        <v>28.180028226088655</v>
      </c>
      <c r="H11" s="188">
        <v>33.920216101490524</v>
      </c>
      <c r="I11" s="13"/>
      <c r="J11" s="13"/>
      <c r="K11" s="13"/>
      <c r="L11" s="13"/>
      <c r="M11" s="13"/>
      <c r="N11" s="13"/>
    </row>
    <row r="12" spans="1:14">
      <c r="A12" s="13">
        <v>1993</v>
      </c>
      <c r="B12" s="187">
        <v>2797.8955098039214</v>
      </c>
      <c r="C12" s="187">
        <v>682.61425671346842</v>
      </c>
      <c r="D12" s="187">
        <v>792.64169388279129</v>
      </c>
      <c r="E12" s="187">
        <v>910.431570934256</v>
      </c>
      <c r="F12" s="188">
        <v>24.3974177849589</v>
      </c>
      <c r="G12" s="188">
        <v>28.329924799026546</v>
      </c>
      <c r="H12" s="188">
        <v>32.539870332686576</v>
      </c>
      <c r="I12" s="13"/>
      <c r="J12" s="13"/>
      <c r="K12" s="13"/>
      <c r="L12" s="13"/>
      <c r="M12" s="13"/>
      <c r="N12" s="13"/>
    </row>
    <row r="13" spans="1:14">
      <c r="A13" s="13">
        <v>1994</v>
      </c>
      <c r="B13" s="187">
        <v>2761.0924865047236</v>
      </c>
      <c r="C13" s="187">
        <v>681.95660207451988</v>
      </c>
      <c r="D13" s="187">
        <v>790.39770482455037</v>
      </c>
      <c r="E13" s="187">
        <v>892.34914979757093</v>
      </c>
      <c r="F13" s="188">
        <v>24.698796052927989</v>
      </c>
      <c r="G13" s="188">
        <v>28.626266910208344</v>
      </c>
      <c r="H13" s="188">
        <v>32.318698274652824</v>
      </c>
      <c r="I13" s="13"/>
      <c r="J13" s="13"/>
      <c r="K13" s="13"/>
      <c r="L13" s="13"/>
      <c r="M13" s="13"/>
      <c r="N13" s="13"/>
    </row>
    <row r="14" spans="1:14">
      <c r="A14" s="13">
        <v>1995</v>
      </c>
      <c r="B14" s="187">
        <v>2832.6385728346454</v>
      </c>
      <c r="C14" s="187">
        <v>679.52627304473185</v>
      </c>
      <c r="D14" s="187">
        <v>785.35076081670422</v>
      </c>
      <c r="E14" s="187">
        <v>986.77211286089243</v>
      </c>
      <c r="F14" s="188">
        <v>23.989162597779785</v>
      </c>
      <c r="G14" s="188">
        <v>27.725060597151902</v>
      </c>
      <c r="H14" s="188">
        <v>34.835793112618006</v>
      </c>
      <c r="I14" s="13"/>
      <c r="J14" s="13"/>
      <c r="K14" s="13"/>
      <c r="L14" s="13"/>
      <c r="M14" s="13"/>
      <c r="N14" s="13"/>
    </row>
    <row r="15" spans="1:14">
      <c r="A15" s="13">
        <v>1996</v>
      </c>
      <c r="B15" s="187">
        <v>2857.8526577437856</v>
      </c>
      <c r="C15" s="187">
        <v>677.60451628739872</v>
      </c>
      <c r="D15" s="187">
        <v>783.09175307283954</v>
      </c>
      <c r="E15" s="187">
        <v>983.34715105162525</v>
      </c>
      <c r="F15" s="188">
        <v>23.710267723261605</v>
      </c>
      <c r="G15" s="188">
        <v>27.401404020985254</v>
      </c>
      <c r="H15" s="188">
        <v>34.408602150537639</v>
      </c>
      <c r="I15" s="13"/>
      <c r="J15" s="13"/>
      <c r="K15" s="13"/>
      <c r="L15" s="13"/>
      <c r="M15" s="13"/>
      <c r="N15" s="13"/>
    </row>
    <row r="16" spans="1:14">
      <c r="A16" s="13">
        <v>1997</v>
      </c>
      <c r="B16" s="187">
        <v>2922.2571734164067</v>
      </c>
      <c r="C16" s="187">
        <v>681.62385956446508</v>
      </c>
      <c r="D16" s="187">
        <v>787.30717438817294</v>
      </c>
      <c r="E16" s="187">
        <v>1035.6763613707164</v>
      </c>
      <c r="F16" s="188">
        <v>23.325252334570525</v>
      </c>
      <c r="G16" s="188">
        <v>26.941748370070158</v>
      </c>
      <c r="H16" s="188">
        <v>35.440972505507062</v>
      </c>
      <c r="I16" s="13"/>
      <c r="J16" s="13"/>
      <c r="K16" s="13"/>
      <c r="L16" s="13"/>
      <c r="M16" s="13"/>
      <c r="N16" s="13"/>
    </row>
    <row r="17" spans="1:14">
      <c r="A17" s="13">
        <v>1998</v>
      </c>
      <c r="B17" s="187">
        <v>2980.8484815950919</v>
      </c>
      <c r="C17" s="187">
        <v>692.91104957226844</v>
      </c>
      <c r="D17" s="187">
        <v>794.54540104972716</v>
      </c>
      <c r="E17" s="187">
        <v>1033.8772760736194</v>
      </c>
      <c r="F17" s="188">
        <v>23.245430079743016</v>
      </c>
      <c r="G17" s="188">
        <v>26.655007993715778</v>
      </c>
      <c r="H17" s="188">
        <v>34.683992911990543</v>
      </c>
      <c r="I17" s="13"/>
      <c r="J17" s="13"/>
      <c r="K17" s="13"/>
      <c r="L17" s="13"/>
      <c r="M17" s="13"/>
      <c r="N17" s="13"/>
    </row>
    <row r="18" spans="1:14">
      <c r="A18" s="13">
        <v>1999</v>
      </c>
      <c r="B18" s="187">
        <v>3087.6672088835535</v>
      </c>
      <c r="C18" s="187">
        <v>699.20992017084552</v>
      </c>
      <c r="D18" s="187">
        <v>798.70399507551929</v>
      </c>
      <c r="E18" s="187">
        <v>1090.0891596638655</v>
      </c>
      <c r="F18" s="188">
        <v>22.645248754760317</v>
      </c>
      <c r="G18" s="188">
        <v>25.867554404100328</v>
      </c>
      <c r="H18" s="188">
        <v>35.304619504574866</v>
      </c>
      <c r="I18" s="13"/>
      <c r="J18" s="13"/>
      <c r="K18" s="13"/>
      <c r="L18" s="13"/>
      <c r="M18" s="13"/>
      <c r="N18" s="13"/>
    </row>
    <row r="19" spans="1:14">
      <c r="A19" s="13">
        <v>2000</v>
      </c>
      <c r="B19" s="187">
        <v>3106.4743737901663</v>
      </c>
      <c r="C19" s="187">
        <v>700.86246714809567</v>
      </c>
      <c r="D19" s="187">
        <v>802.35336593193745</v>
      </c>
      <c r="E19" s="187">
        <v>1121.3040301974449</v>
      </c>
      <c r="F19" s="188">
        <v>22.561347135562656</v>
      </c>
      <c r="G19" s="188">
        <v>25.828423781683966</v>
      </c>
      <c r="H19" s="188">
        <v>36.095711577667302</v>
      </c>
      <c r="I19" s="13"/>
      <c r="J19" s="13"/>
      <c r="K19" s="13"/>
      <c r="L19" s="13"/>
      <c r="M19" s="13"/>
      <c r="N19" s="13"/>
    </row>
    <row r="20" spans="1:14">
      <c r="A20" s="13">
        <v>2001</v>
      </c>
      <c r="B20" s="187">
        <v>3080.3753632599287</v>
      </c>
      <c r="C20" s="187">
        <v>711.85743379673829</v>
      </c>
      <c r="D20" s="187">
        <v>820.63890319688392</v>
      </c>
      <c r="E20" s="187">
        <v>1142.1361603613777</v>
      </c>
      <c r="F20" s="188">
        <v>23.109437969383936</v>
      </c>
      <c r="G20" s="188">
        <v>26.640873478757161</v>
      </c>
      <c r="H20" s="188">
        <v>37.077824150387542</v>
      </c>
      <c r="I20" s="13"/>
      <c r="J20" s="13"/>
      <c r="K20" s="13"/>
      <c r="L20" s="13"/>
      <c r="M20" s="13"/>
      <c r="N20" s="13"/>
    </row>
    <row r="21" spans="1:14">
      <c r="A21" s="13">
        <v>2002</v>
      </c>
      <c r="B21" s="187">
        <v>2965.110579951825</v>
      </c>
      <c r="C21" s="187">
        <v>728.50262754057201</v>
      </c>
      <c r="D21" s="187">
        <v>830.70048356083646</v>
      </c>
      <c r="E21" s="187">
        <v>1171.5802779321843</v>
      </c>
      <c r="F21" s="188">
        <v>24.569155446216385</v>
      </c>
      <c r="G21" s="188">
        <v>28.015834862197046</v>
      </c>
      <c r="H21" s="188">
        <v>39.512195121951216</v>
      </c>
      <c r="I21" s="13"/>
      <c r="J21" s="13"/>
      <c r="K21" s="13"/>
      <c r="L21" s="13"/>
      <c r="M21" s="13"/>
      <c r="N21" s="13"/>
    </row>
    <row r="22" spans="1:14">
      <c r="A22" s="13">
        <v>2003</v>
      </c>
      <c r="B22" s="187">
        <v>2865.8696711956518</v>
      </c>
      <c r="C22" s="187">
        <v>732.95653980236114</v>
      </c>
      <c r="D22" s="187">
        <v>840.23956993425486</v>
      </c>
      <c r="E22" s="187">
        <v>1161.6957282608696</v>
      </c>
      <c r="F22" s="188">
        <v>25.575361893430724</v>
      </c>
      <c r="G22" s="188">
        <v>29.318833943474608</v>
      </c>
      <c r="H22" s="188">
        <v>40.535539349080231</v>
      </c>
      <c r="I22" s="13"/>
      <c r="J22" s="13"/>
      <c r="K22" s="13"/>
      <c r="L22" s="13"/>
      <c r="M22" s="13"/>
      <c r="N22" s="13"/>
    </row>
    <row r="23" spans="1:14">
      <c r="A23" s="13">
        <v>2004</v>
      </c>
      <c r="B23" s="187">
        <v>2825.6632309864126</v>
      </c>
      <c r="C23" s="187">
        <v>733.05189092664466</v>
      </c>
      <c r="D23" s="187">
        <v>841.92758635635414</v>
      </c>
      <c r="E23" s="187">
        <v>1186.2559237691901</v>
      </c>
      <c r="F23" s="188">
        <v>25.942648893468569</v>
      </c>
      <c r="G23" s="188">
        <v>29.79575121067931</v>
      </c>
      <c r="H23" s="188">
        <v>41.981504050469567</v>
      </c>
      <c r="I23" s="13"/>
      <c r="J23" s="13"/>
      <c r="K23" s="13"/>
      <c r="L23" s="13"/>
      <c r="M23" s="13"/>
      <c r="N23" s="13"/>
    </row>
    <row r="24" spans="1:14">
      <c r="A24" s="13">
        <v>2005</v>
      </c>
      <c r="B24" s="187">
        <v>2844.0618766001021</v>
      </c>
      <c r="C24" s="187">
        <v>730.19979050822724</v>
      </c>
      <c r="D24" s="187">
        <v>845.98603748660821</v>
      </c>
      <c r="E24" s="187">
        <v>1107.4119201228878</v>
      </c>
      <c r="F24" s="188">
        <v>25.674539520959204</v>
      </c>
      <c r="G24" s="188">
        <v>29.74569732279987</v>
      </c>
      <c r="H24" s="188">
        <v>38.937687299782993</v>
      </c>
      <c r="I24" s="13"/>
      <c r="J24" s="13"/>
      <c r="K24" s="13"/>
      <c r="L24" s="13"/>
      <c r="M24" s="13"/>
      <c r="N24" s="13"/>
    </row>
    <row r="25" spans="1:14">
      <c r="A25" s="13">
        <v>2006</v>
      </c>
      <c r="B25" s="187">
        <v>2923.1666641865077</v>
      </c>
      <c r="C25" s="187">
        <v>732.77254345165966</v>
      </c>
      <c r="D25" s="187">
        <v>854.84218741350492</v>
      </c>
      <c r="E25" s="187">
        <v>1177.5803373015874</v>
      </c>
      <c r="F25" s="188">
        <v>25.067764778153144</v>
      </c>
      <c r="G25" s="188">
        <v>29.243703340172029</v>
      </c>
      <c r="H25" s="188">
        <v>40.284406350443177</v>
      </c>
      <c r="I25" s="13"/>
      <c r="J25" s="13"/>
      <c r="K25" s="13"/>
      <c r="L25" s="13"/>
      <c r="M25" s="13"/>
      <c r="N25" s="13"/>
    </row>
    <row r="26" spans="1:14">
      <c r="A26" s="13">
        <v>2007</v>
      </c>
      <c r="B26" s="187">
        <v>2935.4137664663526</v>
      </c>
      <c r="C26" s="187">
        <v>742.79875399362425</v>
      </c>
      <c r="D26" s="187">
        <v>864.60101389672207</v>
      </c>
      <c r="E26" s="187">
        <v>1132.7886390601034</v>
      </c>
      <c r="F26" s="188">
        <v>25.304737699305829</v>
      </c>
      <c r="G26" s="188">
        <v>29.454144549356926</v>
      </c>
      <c r="H26" s="188">
        <v>38.590424695859923</v>
      </c>
      <c r="I26" s="13"/>
      <c r="J26" s="13"/>
      <c r="K26" s="13"/>
      <c r="L26" s="13"/>
      <c r="M26" s="13"/>
      <c r="N26" s="13"/>
    </row>
    <row r="27" spans="1:14">
      <c r="A27" s="13">
        <v>2008</v>
      </c>
      <c r="B27" s="187">
        <v>2828.4740675544076</v>
      </c>
      <c r="C27" s="187">
        <v>741.52275055048324</v>
      </c>
      <c r="D27" s="187">
        <v>868.5052326196278</v>
      </c>
      <c r="E27" s="187">
        <v>1168.7483407105335</v>
      </c>
      <c r="F27" s="188">
        <v>26.216353158635403</v>
      </c>
      <c r="G27" s="188">
        <v>30.705787356592818</v>
      </c>
      <c r="H27" s="188">
        <v>41.320808068113983</v>
      </c>
      <c r="I27" s="13"/>
      <c r="J27" s="13"/>
      <c r="K27" s="13"/>
      <c r="L27" s="13"/>
      <c r="M27" s="13"/>
      <c r="N27" s="13"/>
    </row>
    <row r="28" spans="1:14">
      <c r="A28" s="13">
        <v>2009</v>
      </c>
      <c r="B28" s="187">
        <v>2805.9324739633098</v>
      </c>
      <c r="C28" s="187">
        <v>761.12036062586844</v>
      </c>
      <c r="D28" s="187">
        <v>884.77490789145054</v>
      </c>
      <c r="E28" s="187">
        <v>1137.6052708856746</v>
      </c>
      <c r="F28" s="188">
        <v>27.125398336860364</v>
      </c>
      <c r="G28" s="188">
        <v>31.532295096243995</v>
      </c>
      <c r="H28" s="188">
        <v>40.542859867145538</v>
      </c>
      <c r="I28" s="13"/>
      <c r="J28" s="13"/>
      <c r="K28" s="13"/>
      <c r="L28" s="13"/>
      <c r="M28" s="13"/>
      <c r="N28" s="13"/>
    </row>
    <row r="29" spans="1:14">
      <c r="A29" s="13">
        <v>2010</v>
      </c>
      <c r="B29" s="187">
        <v>2714.936204461239</v>
      </c>
      <c r="C29" s="187">
        <v>750.5618876015551</v>
      </c>
      <c r="D29" s="187">
        <v>873.00847099299506</v>
      </c>
      <c r="E29" s="187">
        <v>1133.98731518509</v>
      </c>
      <c r="F29" s="188">
        <v>27.645654670198748</v>
      </c>
      <c r="G29" s="188">
        <v>32.155763717705391</v>
      </c>
      <c r="H29" s="188">
        <v>41.768470040721354</v>
      </c>
      <c r="I29" s="13"/>
      <c r="J29" s="13"/>
      <c r="K29" s="13"/>
      <c r="L29" s="13"/>
      <c r="M29" s="13"/>
      <c r="N29" s="13"/>
    </row>
    <row r="30" spans="1:14">
      <c r="A30" s="13">
        <v>2011</v>
      </c>
      <c r="B30" s="187">
        <v>2702.2036292802345</v>
      </c>
      <c r="C30" s="187">
        <v>740.00351206327048</v>
      </c>
      <c r="D30" s="187">
        <v>860.44546299218905</v>
      </c>
      <c r="E30" s="187">
        <v>1083.9775583602666</v>
      </c>
      <c r="F30" s="188">
        <v>27.385186817337654</v>
      </c>
      <c r="G30" s="188">
        <v>31.84236205105606</v>
      </c>
      <c r="H30" s="188">
        <v>40.114577103465642</v>
      </c>
      <c r="I30" s="13"/>
      <c r="J30" s="13"/>
      <c r="K30" s="13"/>
      <c r="L30" s="13"/>
      <c r="M30" s="13"/>
      <c r="N30" s="13"/>
    </row>
    <row r="31" spans="1:14">
      <c r="A31" s="13">
        <v>2012</v>
      </c>
      <c r="B31" s="187">
        <v>2711.2500000000005</v>
      </c>
      <c r="C31" s="187">
        <v>744.23420386535145</v>
      </c>
      <c r="D31" s="187">
        <v>860.86288905000686</v>
      </c>
      <c r="E31" s="187">
        <v>1090</v>
      </c>
      <c r="F31" s="188">
        <v>27.449855375393316</v>
      </c>
      <c r="G31" s="188">
        <v>31.751512735823205</v>
      </c>
      <c r="H31" s="188">
        <v>40.20285846011987</v>
      </c>
      <c r="I31" s="13"/>
      <c r="J31" s="13"/>
      <c r="K31" s="13"/>
      <c r="L31" s="13"/>
      <c r="M31" s="13"/>
      <c r="N31" s="13"/>
    </row>
    <row r="32" spans="1:14">
      <c r="A32" s="13"/>
      <c r="B32" s="13"/>
      <c r="C32" s="13"/>
      <c r="D32" s="13"/>
      <c r="E32" s="13"/>
      <c r="F32" s="13"/>
      <c r="G32" s="13"/>
      <c r="H32" s="13"/>
      <c r="I32" s="13"/>
      <c r="J32" s="13"/>
      <c r="K32" s="13"/>
      <c r="L32" s="13"/>
      <c r="M32" s="13"/>
      <c r="N32" s="13"/>
    </row>
    <row r="33" spans="1:14" ht="15" customHeight="1">
      <c r="A33" s="307" t="s">
        <v>353</v>
      </c>
      <c r="B33" s="307"/>
      <c r="C33" s="307"/>
      <c r="D33" s="307"/>
      <c r="E33" s="307"/>
      <c r="F33" s="307"/>
      <c r="G33" s="307"/>
      <c r="H33" s="307"/>
      <c r="I33" s="307"/>
      <c r="J33" s="307"/>
      <c r="K33" s="307"/>
      <c r="L33" s="307"/>
      <c r="M33" s="307"/>
      <c r="N33" s="307"/>
    </row>
    <row r="34" spans="1:14">
      <c r="A34" s="307"/>
      <c r="B34" s="307"/>
      <c r="C34" s="307"/>
      <c r="D34" s="307"/>
      <c r="E34" s="307"/>
      <c r="F34" s="307"/>
      <c r="G34" s="307"/>
      <c r="H34" s="307"/>
      <c r="I34" s="307"/>
      <c r="J34" s="307"/>
      <c r="K34" s="307"/>
      <c r="L34" s="307"/>
      <c r="M34" s="307"/>
      <c r="N34" s="307"/>
    </row>
    <row r="35" spans="1:14">
      <c r="A35" s="307"/>
      <c r="B35" s="307"/>
      <c r="C35" s="307"/>
      <c r="D35" s="307"/>
      <c r="E35" s="307"/>
      <c r="F35" s="307"/>
      <c r="G35" s="307"/>
      <c r="H35" s="307"/>
      <c r="I35" s="307"/>
      <c r="J35" s="307"/>
      <c r="K35" s="307"/>
      <c r="L35" s="307"/>
      <c r="M35" s="307"/>
      <c r="N35" s="307"/>
    </row>
    <row r="36" spans="1:14">
      <c r="A36" s="307"/>
      <c r="B36" s="307"/>
      <c r="C36" s="307"/>
      <c r="D36" s="307"/>
      <c r="E36" s="307"/>
      <c r="F36" s="307"/>
      <c r="G36" s="307"/>
      <c r="H36" s="307"/>
      <c r="I36" s="307"/>
      <c r="J36" s="307"/>
      <c r="K36" s="307"/>
      <c r="L36" s="307"/>
      <c r="M36" s="307"/>
      <c r="N36" s="307"/>
    </row>
    <row r="37" spans="1:14">
      <c r="A37" s="307"/>
      <c r="B37" s="307"/>
      <c r="C37" s="307"/>
      <c r="D37" s="307"/>
      <c r="E37" s="307"/>
      <c r="F37" s="307"/>
      <c r="G37" s="307"/>
      <c r="H37" s="307"/>
      <c r="I37" s="307"/>
      <c r="J37" s="307"/>
      <c r="K37" s="307"/>
      <c r="L37" s="307"/>
      <c r="M37" s="307"/>
      <c r="N37" s="307"/>
    </row>
  </sheetData>
  <mergeCells count="3">
    <mergeCell ref="B3:E3"/>
    <mergeCell ref="F3:H3"/>
    <mergeCell ref="A33:N37"/>
  </mergeCells>
  <pageMargins left="0.7" right="0.7" top="0.75" bottom="0.75" header="0.3" footer="0.3"/>
  <pageSetup scale="87" orientation="landscape"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36"/>
  <sheetViews>
    <sheetView zoomScaleNormal="100" zoomScalePageLayoutView="150" workbookViewId="0">
      <selection activeCell="E16" sqref="E16"/>
    </sheetView>
  </sheetViews>
  <sheetFormatPr defaultColWidth="8.85546875" defaultRowHeight="15"/>
  <cols>
    <col min="1" max="1" width="15.85546875" style="5" customWidth="1"/>
    <col min="2" max="2" width="28.42578125" style="4" customWidth="1"/>
    <col min="3" max="3" width="8.85546875" style="5"/>
    <col min="4" max="4" width="10.140625" style="5" customWidth="1"/>
    <col min="5" max="6" width="8.85546875" style="5"/>
    <col min="7" max="7" width="10.28515625" style="5" customWidth="1"/>
    <col min="8" max="9" width="8.85546875" style="5"/>
    <col min="10" max="10" width="10.7109375" style="5" customWidth="1"/>
    <col min="11" max="12" width="8.85546875" style="5"/>
    <col min="13" max="13" width="10.28515625" style="5" customWidth="1"/>
    <col min="14" max="15" width="8.85546875" style="5"/>
    <col min="16" max="16" width="10.28515625" style="5" customWidth="1"/>
    <col min="17" max="16384" width="8.85546875" style="5"/>
  </cols>
  <sheetData>
    <row r="1" spans="1:17">
      <c r="A1" s="3" t="s">
        <v>296</v>
      </c>
    </row>
    <row r="2" spans="1:17">
      <c r="A2" s="3"/>
      <c r="B2" s="142"/>
    </row>
    <row r="3" spans="1:17" ht="15.75" thickBot="1">
      <c r="A3" s="5" t="s">
        <v>300</v>
      </c>
    </row>
    <row r="4" spans="1:17" ht="15" customHeight="1">
      <c r="A4" s="6"/>
      <c r="B4" s="217"/>
      <c r="C4" s="7"/>
      <c r="D4" s="8" t="s">
        <v>355</v>
      </c>
      <c r="E4" s="183"/>
      <c r="F4" s="313" t="s">
        <v>336</v>
      </c>
      <c r="G4" s="311"/>
      <c r="H4" s="314"/>
      <c r="I4" s="308" t="s">
        <v>346</v>
      </c>
      <c r="J4" s="311"/>
      <c r="K4" s="312"/>
      <c r="L4" s="313" t="s">
        <v>303</v>
      </c>
      <c r="M4" s="311"/>
      <c r="N4" s="314"/>
      <c r="O4" s="308" t="s">
        <v>6</v>
      </c>
      <c r="P4" s="311"/>
      <c r="Q4" s="312"/>
    </row>
    <row r="5" spans="1:17" ht="30.75" thickBot="1">
      <c r="A5" s="196"/>
      <c r="B5" s="218"/>
      <c r="C5" s="182" t="s">
        <v>8</v>
      </c>
      <c r="D5" s="190" t="s">
        <v>347</v>
      </c>
      <c r="E5" s="197" t="s">
        <v>326</v>
      </c>
      <c r="F5" s="201" t="s">
        <v>8</v>
      </c>
      <c r="G5" s="190" t="s">
        <v>347</v>
      </c>
      <c r="H5" s="210" t="s">
        <v>326</v>
      </c>
      <c r="I5" s="182" t="s">
        <v>8</v>
      </c>
      <c r="J5" s="190" t="s">
        <v>347</v>
      </c>
      <c r="K5" s="197" t="s">
        <v>326</v>
      </c>
      <c r="L5" s="201" t="s">
        <v>8</v>
      </c>
      <c r="M5" s="190" t="s">
        <v>347</v>
      </c>
      <c r="N5" s="210" t="s">
        <v>326</v>
      </c>
      <c r="O5" s="182" t="s">
        <v>8</v>
      </c>
      <c r="P5" s="190" t="s">
        <v>347</v>
      </c>
      <c r="Q5" s="197" t="s">
        <v>326</v>
      </c>
    </row>
    <row r="6" spans="1:17">
      <c r="A6" s="308" t="s">
        <v>11</v>
      </c>
      <c r="B6" s="217" t="s">
        <v>62</v>
      </c>
      <c r="C6" s="206">
        <v>457438</v>
      </c>
      <c r="D6" s="191">
        <v>385064</v>
      </c>
      <c r="E6" s="192">
        <v>272109</v>
      </c>
      <c r="F6" s="202">
        <v>495123</v>
      </c>
      <c r="G6" s="191">
        <v>280283</v>
      </c>
      <c r="H6" s="211">
        <v>208221</v>
      </c>
      <c r="I6" s="206">
        <v>367131</v>
      </c>
      <c r="J6" s="191">
        <v>253456</v>
      </c>
      <c r="K6" s="192">
        <v>103852</v>
      </c>
      <c r="L6" s="202">
        <v>893596</v>
      </c>
      <c r="M6" s="191">
        <v>452225</v>
      </c>
      <c r="N6" s="211">
        <v>219851</v>
      </c>
      <c r="O6" s="215">
        <v>88</v>
      </c>
      <c r="P6" s="191">
        <v>103140</v>
      </c>
      <c r="Q6" s="192">
        <v>85859</v>
      </c>
    </row>
    <row r="7" spans="1:17">
      <c r="A7" s="309"/>
      <c r="B7" s="144" t="s">
        <v>297</v>
      </c>
      <c r="C7" s="207">
        <v>1344576</v>
      </c>
      <c r="D7" s="189">
        <v>1594920</v>
      </c>
      <c r="E7" s="193">
        <v>830070</v>
      </c>
      <c r="F7" s="203">
        <v>1101320</v>
      </c>
      <c r="G7" s="189">
        <v>796633</v>
      </c>
      <c r="H7" s="212">
        <v>379430</v>
      </c>
      <c r="I7" s="207">
        <v>672776</v>
      </c>
      <c r="J7" s="189">
        <v>609096</v>
      </c>
      <c r="K7" s="193">
        <v>170818</v>
      </c>
      <c r="L7" s="203">
        <v>1690143</v>
      </c>
      <c r="M7" s="189">
        <v>1266829</v>
      </c>
      <c r="N7" s="212">
        <v>149789</v>
      </c>
      <c r="O7" s="216">
        <v>27526</v>
      </c>
      <c r="P7" s="189">
        <v>164852</v>
      </c>
      <c r="Q7" s="193">
        <v>176465</v>
      </c>
    </row>
    <row r="8" spans="1:17">
      <c r="A8" s="309"/>
      <c r="B8" s="144" t="s">
        <v>129</v>
      </c>
      <c r="C8" s="207">
        <v>1048544</v>
      </c>
      <c r="D8" s="189">
        <v>1572659</v>
      </c>
      <c r="E8" s="193">
        <v>732678</v>
      </c>
      <c r="F8" s="203">
        <v>650474</v>
      </c>
      <c r="G8" s="189">
        <v>513398</v>
      </c>
      <c r="H8" s="212">
        <v>210926</v>
      </c>
      <c r="I8" s="207">
        <v>440840</v>
      </c>
      <c r="J8" s="189">
        <v>376043</v>
      </c>
      <c r="K8" s="193">
        <v>76147</v>
      </c>
      <c r="L8" s="203">
        <v>930134</v>
      </c>
      <c r="M8" s="189">
        <v>679180</v>
      </c>
      <c r="N8" s="212">
        <v>76223</v>
      </c>
      <c r="O8" s="207">
        <v>12663</v>
      </c>
      <c r="P8" s="189">
        <v>125870</v>
      </c>
      <c r="Q8" s="193">
        <v>149192</v>
      </c>
    </row>
    <row r="9" spans="1:17">
      <c r="A9" s="309"/>
      <c r="B9" s="144" t="s">
        <v>130</v>
      </c>
      <c r="C9" s="207">
        <v>769704</v>
      </c>
      <c r="D9" s="189">
        <v>1196421</v>
      </c>
      <c r="E9" s="193">
        <v>598337</v>
      </c>
      <c r="F9" s="203">
        <v>586485</v>
      </c>
      <c r="G9" s="189">
        <v>439827</v>
      </c>
      <c r="H9" s="212">
        <v>176699</v>
      </c>
      <c r="I9" s="207">
        <v>337199</v>
      </c>
      <c r="J9" s="189">
        <v>323488</v>
      </c>
      <c r="K9" s="193">
        <v>67123</v>
      </c>
      <c r="L9" s="203">
        <v>904414</v>
      </c>
      <c r="M9" s="189">
        <v>629478</v>
      </c>
      <c r="N9" s="212">
        <v>96886</v>
      </c>
      <c r="O9" s="207">
        <v>29103</v>
      </c>
      <c r="P9" s="189">
        <v>93219</v>
      </c>
      <c r="Q9" s="193">
        <v>180206</v>
      </c>
    </row>
    <row r="10" spans="1:17">
      <c r="A10" s="309"/>
      <c r="B10" s="144" t="s">
        <v>131</v>
      </c>
      <c r="C10" s="207">
        <v>477283</v>
      </c>
      <c r="D10" s="189">
        <v>697642</v>
      </c>
      <c r="E10" s="193">
        <v>452121</v>
      </c>
      <c r="F10" s="203">
        <v>386538</v>
      </c>
      <c r="G10" s="189">
        <v>323216</v>
      </c>
      <c r="H10" s="212">
        <v>146411</v>
      </c>
      <c r="I10" s="207">
        <v>239854</v>
      </c>
      <c r="J10" s="189">
        <v>251828</v>
      </c>
      <c r="K10" s="193">
        <v>63203</v>
      </c>
      <c r="L10" s="203">
        <v>718187</v>
      </c>
      <c r="M10" s="189">
        <v>450794</v>
      </c>
      <c r="N10" s="212">
        <v>95020</v>
      </c>
      <c r="O10" s="207">
        <v>13327</v>
      </c>
      <c r="P10" s="189">
        <v>91169</v>
      </c>
      <c r="Q10" s="193">
        <v>66862</v>
      </c>
    </row>
    <row r="11" spans="1:17">
      <c r="A11" s="309"/>
      <c r="B11" s="144" t="s">
        <v>298</v>
      </c>
      <c r="C11" s="207">
        <v>251479</v>
      </c>
      <c r="D11" s="189">
        <v>290997</v>
      </c>
      <c r="E11" s="193">
        <v>196708</v>
      </c>
      <c r="F11" s="203">
        <v>218313</v>
      </c>
      <c r="G11" s="189">
        <v>181540</v>
      </c>
      <c r="H11" s="212">
        <v>92637</v>
      </c>
      <c r="I11" s="207">
        <v>104806</v>
      </c>
      <c r="J11" s="189">
        <v>101816</v>
      </c>
      <c r="K11" s="193">
        <v>52927</v>
      </c>
      <c r="L11" s="203">
        <v>456150</v>
      </c>
      <c r="M11" s="189">
        <v>278919</v>
      </c>
      <c r="N11" s="212">
        <v>44180</v>
      </c>
      <c r="O11" s="207">
        <v>3449</v>
      </c>
      <c r="P11" s="189">
        <v>50729</v>
      </c>
      <c r="Q11" s="193">
        <v>46477</v>
      </c>
    </row>
    <row r="12" spans="1:17" ht="15.75" thickBot="1">
      <c r="A12" s="310"/>
      <c r="B12" s="219" t="s">
        <v>299</v>
      </c>
      <c r="C12" s="208">
        <v>152532</v>
      </c>
      <c r="D12" s="194">
        <v>250207</v>
      </c>
      <c r="E12" s="195">
        <v>202015</v>
      </c>
      <c r="F12" s="204">
        <v>148659</v>
      </c>
      <c r="G12" s="194">
        <v>114663</v>
      </c>
      <c r="H12" s="213">
        <v>78494</v>
      </c>
      <c r="I12" s="208">
        <v>60175</v>
      </c>
      <c r="J12" s="194">
        <v>96955</v>
      </c>
      <c r="K12" s="195">
        <v>33818</v>
      </c>
      <c r="L12" s="204">
        <v>595435</v>
      </c>
      <c r="M12" s="194">
        <v>471134</v>
      </c>
      <c r="N12" s="213">
        <v>156459</v>
      </c>
      <c r="O12" s="208">
        <v>8394</v>
      </c>
      <c r="P12" s="194">
        <v>28047</v>
      </c>
      <c r="Q12" s="195">
        <v>47704</v>
      </c>
    </row>
    <row r="13" spans="1:17">
      <c r="A13" s="308" t="s">
        <v>67</v>
      </c>
      <c r="B13" s="217" t="s">
        <v>68</v>
      </c>
      <c r="C13" s="206">
        <v>1954294</v>
      </c>
      <c r="D13" s="191">
        <v>3688574</v>
      </c>
      <c r="E13" s="192">
        <v>2461782</v>
      </c>
      <c r="F13" s="202">
        <v>1559860</v>
      </c>
      <c r="G13" s="191">
        <v>1470401</v>
      </c>
      <c r="H13" s="211">
        <v>903963</v>
      </c>
      <c r="I13" s="206">
        <v>877136</v>
      </c>
      <c r="J13" s="191">
        <v>977426</v>
      </c>
      <c r="K13" s="192">
        <v>376943</v>
      </c>
      <c r="L13" s="202">
        <v>2765209</v>
      </c>
      <c r="M13" s="191">
        <v>2200211</v>
      </c>
      <c r="N13" s="211">
        <v>646253</v>
      </c>
      <c r="O13" s="206">
        <v>43031</v>
      </c>
      <c r="P13" s="191">
        <v>476290</v>
      </c>
      <c r="Q13" s="192">
        <v>551235</v>
      </c>
    </row>
    <row r="14" spans="1:17">
      <c r="A14" s="309"/>
      <c r="B14" s="144" t="s">
        <v>69</v>
      </c>
      <c r="C14" s="207">
        <v>1234755</v>
      </c>
      <c r="D14" s="189">
        <v>913231</v>
      </c>
      <c r="E14" s="193">
        <v>321489</v>
      </c>
      <c r="F14" s="203">
        <v>959074</v>
      </c>
      <c r="G14" s="189">
        <v>440871</v>
      </c>
      <c r="H14" s="212">
        <v>181570</v>
      </c>
      <c r="I14" s="207">
        <v>616104</v>
      </c>
      <c r="J14" s="189">
        <v>447739</v>
      </c>
      <c r="K14" s="193">
        <v>108709</v>
      </c>
      <c r="L14" s="203">
        <v>1392725</v>
      </c>
      <c r="M14" s="189">
        <v>871292</v>
      </c>
      <c r="N14" s="212">
        <v>71655</v>
      </c>
      <c r="O14" s="207">
        <v>9974</v>
      </c>
      <c r="P14" s="189">
        <v>35924</v>
      </c>
      <c r="Q14" s="193">
        <v>70183</v>
      </c>
    </row>
    <row r="15" spans="1:17">
      <c r="A15" s="309"/>
      <c r="B15" s="144" t="s">
        <v>15</v>
      </c>
      <c r="C15" s="207">
        <v>297525</v>
      </c>
      <c r="D15" s="189">
        <v>364358</v>
      </c>
      <c r="E15" s="193">
        <v>167343</v>
      </c>
      <c r="F15" s="203">
        <v>260543</v>
      </c>
      <c r="G15" s="189">
        <v>190882</v>
      </c>
      <c r="H15" s="212">
        <v>80553</v>
      </c>
      <c r="I15" s="207">
        <v>195393</v>
      </c>
      <c r="J15" s="189">
        <v>169088</v>
      </c>
      <c r="K15" s="193">
        <v>17924</v>
      </c>
      <c r="L15" s="203">
        <v>624121</v>
      </c>
      <c r="M15" s="189">
        <v>425100</v>
      </c>
      <c r="N15" s="212">
        <v>67269</v>
      </c>
      <c r="O15" s="207">
        <v>4727</v>
      </c>
      <c r="P15" s="189">
        <v>25427</v>
      </c>
      <c r="Q15" s="193">
        <v>32552</v>
      </c>
    </row>
    <row r="16" spans="1:17" ht="15.75" thickBot="1">
      <c r="A16" s="310"/>
      <c r="B16" s="219" t="s">
        <v>14</v>
      </c>
      <c r="C16" s="208">
        <v>1014983</v>
      </c>
      <c r="D16" s="194">
        <v>1021747</v>
      </c>
      <c r="E16" s="195">
        <v>333426</v>
      </c>
      <c r="F16" s="204">
        <v>807437</v>
      </c>
      <c r="G16" s="194">
        <v>547405</v>
      </c>
      <c r="H16" s="213">
        <v>126732</v>
      </c>
      <c r="I16" s="208">
        <v>534147</v>
      </c>
      <c r="J16" s="194">
        <v>418428</v>
      </c>
      <c r="K16" s="195">
        <v>64311</v>
      </c>
      <c r="L16" s="204">
        <v>1406004</v>
      </c>
      <c r="M16" s="194">
        <v>731955</v>
      </c>
      <c r="N16" s="213">
        <v>53232</v>
      </c>
      <c r="O16" s="208">
        <v>36819</v>
      </c>
      <c r="P16" s="194">
        <v>119385</v>
      </c>
      <c r="Q16" s="195">
        <v>98796</v>
      </c>
    </row>
    <row r="17" spans="1:17">
      <c r="A17" s="308" t="s">
        <v>16</v>
      </c>
      <c r="B17" s="217" t="s">
        <v>17</v>
      </c>
      <c r="C17" s="206">
        <v>895863</v>
      </c>
      <c r="D17" s="191">
        <v>863861</v>
      </c>
      <c r="E17" s="192">
        <v>571628</v>
      </c>
      <c r="F17" s="202">
        <v>742138</v>
      </c>
      <c r="G17" s="191">
        <v>464128</v>
      </c>
      <c r="H17" s="211">
        <v>272727</v>
      </c>
      <c r="I17" s="206">
        <v>446582</v>
      </c>
      <c r="J17" s="191">
        <v>320577</v>
      </c>
      <c r="K17" s="192">
        <v>118718</v>
      </c>
      <c r="L17" s="202">
        <v>1072236</v>
      </c>
      <c r="M17" s="191">
        <v>574035</v>
      </c>
      <c r="N17" s="211">
        <v>174199</v>
      </c>
      <c r="O17" s="206">
        <v>35061</v>
      </c>
      <c r="P17" s="191">
        <v>238434</v>
      </c>
      <c r="Q17" s="192">
        <v>254923</v>
      </c>
    </row>
    <row r="18" spans="1:17">
      <c r="A18" s="309"/>
      <c r="B18" s="144" t="s">
        <v>18</v>
      </c>
      <c r="C18" s="207">
        <v>1153424</v>
      </c>
      <c r="D18" s="189">
        <v>1708648</v>
      </c>
      <c r="E18" s="193">
        <v>1129201</v>
      </c>
      <c r="F18" s="203">
        <v>919434</v>
      </c>
      <c r="G18" s="189">
        <v>814715</v>
      </c>
      <c r="H18" s="212">
        <v>426423</v>
      </c>
      <c r="I18" s="207">
        <v>496995</v>
      </c>
      <c r="J18" s="189">
        <v>539982</v>
      </c>
      <c r="K18" s="193">
        <v>146066</v>
      </c>
      <c r="L18" s="203">
        <v>1302536</v>
      </c>
      <c r="M18" s="189">
        <v>1023807</v>
      </c>
      <c r="N18" s="212">
        <v>237416</v>
      </c>
      <c r="O18" s="207">
        <v>25567</v>
      </c>
      <c r="P18" s="189">
        <v>221806</v>
      </c>
      <c r="Q18" s="193">
        <v>307285</v>
      </c>
    </row>
    <row r="19" spans="1:17">
      <c r="A19" s="309"/>
      <c r="B19" s="144" t="s">
        <v>19</v>
      </c>
      <c r="C19" s="207">
        <v>1535604</v>
      </c>
      <c r="D19" s="189">
        <v>2048049</v>
      </c>
      <c r="E19" s="193">
        <v>1098044</v>
      </c>
      <c r="F19" s="203">
        <v>1025382</v>
      </c>
      <c r="G19" s="189">
        <v>824985</v>
      </c>
      <c r="H19" s="212">
        <v>424386</v>
      </c>
      <c r="I19" s="207">
        <v>727331</v>
      </c>
      <c r="J19" s="189">
        <v>675640</v>
      </c>
      <c r="K19" s="193">
        <v>211785</v>
      </c>
      <c r="L19" s="203">
        <v>1815828</v>
      </c>
      <c r="M19" s="189">
        <v>1290794</v>
      </c>
      <c r="N19" s="212">
        <v>338691</v>
      </c>
      <c r="O19" s="207">
        <v>26362</v>
      </c>
      <c r="P19" s="189">
        <v>156373</v>
      </c>
      <c r="Q19" s="193">
        <v>159412</v>
      </c>
    </row>
    <row r="20" spans="1:17" ht="15.75" thickBot="1">
      <c r="A20" s="310"/>
      <c r="B20" s="219" t="s">
        <v>301</v>
      </c>
      <c r="C20" s="208">
        <v>916665</v>
      </c>
      <c r="D20" s="194">
        <v>1367352</v>
      </c>
      <c r="E20" s="195">
        <v>485166</v>
      </c>
      <c r="F20" s="204">
        <v>899959</v>
      </c>
      <c r="G20" s="194">
        <v>545733</v>
      </c>
      <c r="H20" s="213">
        <v>169281</v>
      </c>
      <c r="I20" s="208">
        <v>551873</v>
      </c>
      <c r="J20" s="194">
        <v>476481</v>
      </c>
      <c r="K20" s="195">
        <v>91317</v>
      </c>
      <c r="L20" s="204">
        <v>1997459</v>
      </c>
      <c r="M20" s="194">
        <v>1339921</v>
      </c>
      <c r="N20" s="213">
        <v>88103</v>
      </c>
      <c r="O20" s="208">
        <v>7561</v>
      </c>
      <c r="P20" s="194">
        <v>40412</v>
      </c>
      <c r="Q20" s="195">
        <v>31146</v>
      </c>
    </row>
    <row r="21" spans="1:17">
      <c r="A21" s="308" t="s">
        <v>20</v>
      </c>
      <c r="B21" s="217" t="s">
        <v>21</v>
      </c>
      <c r="C21" s="206">
        <v>525542</v>
      </c>
      <c r="D21" s="191">
        <v>890964</v>
      </c>
      <c r="E21" s="192">
        <v>517952</v>
      </c>
      <c r="F21" s="202">
        <v>385860</v>
      </c>
      <c r="G21" s="191">
        <v>306432</v>
      </c>
      <c r="H21" s="211">
        <v>140141</v>
      </c>
      <c r="I21" s="206">
        <v>195319</v>
      </c>
      <c r="J21" s="191">
        <v>239696</v>
      </c>
      <c r="K21" s="192">
        <v>44344</v>
      </c>
      <c r="L21" s="202">
        <v>698608</v>
      </c>
      <c r="M21" s="191">
        <v>471047</v>
      </c>
      <c r="N21" s="211">
        <v>56452</v>
      </c>
      <c r="O21" s="206">
        <v>15921</v>
      </c>
      <c r="P21" s="191">
        <v>57626</v>
      </c>
      <c r="Q21" s="192">
        <v>108453</v>
      </c>
    </row>
    <row r="22" spans="1:17">
      <c r="A22" s="309"/>
      <c r="B22" s="144" t="s">
        <v>22</v>
      </c>
      <c r="C22" s="207">
        <v>881985</v>
      </c>
      <c r="D22" s="189">
        <v>1557852</v>
      </c>
      <c r="E22" s="193">
        <v>721464</v>
      </c>
      <c r="F22" s="203">
        <v>395461</v>
      </c>
      <c r="G22" s="189">
        <v>353708</v>
      </c>
      <c r="H22" s="212">
        <v>116056</v>
      </c>
      <c r="I22" s="207">
        <v>266261</v>
      </c>
      <c r="J22" s="189">
        <v>272229</v>
      </c>
      <c r="K22" s="193">
        <v>48034</v>
      </c>
      <c r="L22" s="203">
        <v>509713</v>
      </c>
      <c r="M22" s="189">
        <v>467213</v>
      </c>
      <c r="N22" s="212">
        <v>30101</v>
      </c>
      <c r="O22" s="207">
        <v>25461</v>
      </c>
      <c r="P22" s="189">
        <v>149342</v>
      </c>
      <c r="Q22" s="193">
        <v>107129</v>
      </c>
    </row>
    <row r="23" spans="1:17">
      <c r="A23" s="309"/>
      <c r="B23" s="144" t="s">
        <v>23</v>
      </c>
      <c r="C23" s="207">
        <v>933904</v>
      </c>
      <c r="D23" s="189">
        <v>1078432</v>
      </c>
      <c r="E23" s="193">
        <v>612072</v>
      </c>
      <c r="F23" s="203">
        <v>653481</v>
      </c>
      <c r="G23" s="189">
        <v>544282</v>
      </c>
      <c r="H23" s="212">
        <v>287238</v>
      </c>
      <c r="I23" s="207">
        <v>406751</v>
      </c>
      <c r="J23" s="189">
        <v>366335</v>
      </c>
      <c r="K23" s="193">
        <v>118002</v>
      </c>
      <c r="L23" s="203">
        <v>673576</v>
      </c>
      <c r="M23" s="189">
        <v>553757</v>
      </c>
      <c r="N23" s="212">
        <v>101534</v>
      </c>
      <c r="O23" s="207">
        <v>18900</v>
      </c>
      <c r="P23" s="189">
        <v>97301</v>
      </c>
      <c r="Q23" s="193">
        <v>136867</v>
      </c>
    </row>
    <row r="24" spans="1:17">
      <c r="A24" s="309"/>
      <c r="B24" s="144" t="s">
        <v>24</v>
      </c>
      <c r="C24" s="207">
        <v>536183</v>
      </c>
      <c r="D24" s="189">
        <v>624064</v>
      </c>
      <c r="E24" s="193">
        <v>293293</v>
      </c>
      <c r="F24" s="203">
        <v>322560</v>
      </c>
      <c r="G24" s="189">
        <v>250445</v>
      </c>
      <c r="H24" s="212">
        <v>73013</v>
      </c>
      <c r="I24" s="207">
        <v>176148</v>
      </c>
      <c r="J24" s="189">
        <v>182690</v>
      </c>
      <c r="K24" s="193">
        <v>30461</v>
      </c>
      <c r="L24" s="203">
        <v>470582</v>
      </c>
      <c r="M24" s="189">
        <v>278516</v>
      </c>
      <c r="N24" s="212">
        <v>30672</v>
      </c>
      <c r="O24" s="207">
        <v>6422</v>
      </c>
      <c r="P24" s="189">
        <v>61747</v>
      </c>
      <c r="Q24" s="193">
        <v>111253</v>
      </c>
    </row>
    <row r="25" spans="1:17">
      <c r="A25" s="309"/>
      <c r="B25" s="144" t="s">
        <v>25</v>
      </c>
      <c r="C25" s="207">
        <v>1000881</v>
      </c>
      <c r="D25" s="189">
        <v>1286705</v>
      </c>
      <c r="E25" s="193">
        <v>854015</v>
      </c>
      <c r="F25" s="203">
        <v>1269870</v>
      </c>
      <c r="G25" s="189">
        <v>925429</v>
      </c>
      <c r="H25" s="212">
        <v>503951</v>
      </c>
      <c r="I25" s="207">
        <v>884336</v>
      </c>
      <c r="J25" s="189">
        <v>740662</v>
      </c>
      <c r="K25" s="193">
        <v>258993</v>
      </c>
      <c r="L25" s="203">
        <v>3128235</v>
      </c>
      <c r="M25" s="189">
        <v>2034109</v>
      </c>
      <c r="N25" s="212">
        <v>493087</v>
      </c>
      <c r="O25" s="207">
        <v>21688</v>
      </c>
      <c r="P25" s="189">
        <v>204880</v>
      </c>
      <c r="Q25" s="193">
        <v>186820</v>
      </c>
    </row>
    <row r="26" spans="1:17" ht="15.75" thickBot="1">
      <c r="A26" s="310"/>
      <c r="B26" s="219" t="s">
        <v>302</v>
      </c>
      <c r="C26" s="208">
        <v>623061</v>
      </c>
      <c r="D26" s="194">
        <v>549894</v>
      </c>
      <c r="E26" s="195">
        <v>285241</v>
      </c>
      <c r="F26" s="204">
        <v>559681</v>
      </c>
      <c r="G26" s="194">
        <v>269265</v>
      </c>
      <c r="H26" s="213">
        <v>172418</v>
      </c>
      <c r="I26" s="208">
        <v>293967</v>
      </c>
      <c r="J26" s="194">
        <v>211069</v>
      </c>
      <c r="K26" s="195">
        <v>68053</v>
      </c>
      <c r="L26" s="204">
        <v>707345</v>
      </c>
      <c r="M26" s="194">
        <v>423916</v>
      </c>
      <c r="N26" s="213">
        <v>126562</v>
      </c>
      <c r="O26" s="208">
        <v>6160</v>
      </c>
      <c r="P26" s="194">
        <v>86129</v>
      </c>
      <c r="Q26" s="195">
        <v>102243</v>
      </c>
    </row>
    <row r="27" spans="1:17">
      <c r="A27" s="308" t="s">
        <v>26</v>
      </c>
      <c r="B27" s="217" t="s">
        <v>27</v>
      </c>
      <c r="C27" s="206">
        <v>1690557</v>
      </c>
      <c r="D27" s="191">
        <v>1642589</v>
      </c>
      <c r="E27" s="192">
        <v>1235077</v>
      </c>
      <c r="F27" s="202">
        <v>1565622</v>
      </c>
      <c r="G27" s="191">
        <v>1067139</v>
      </c>
      <c r="H27" s="211">
        <v>779801</v>
      </c>
      <c r="I27" s="206">
        <v>1029908</v>
      </c>
      <c r="J27" s="191">
        <v>763357</v>
      </c>
      <c r="K27" s="192">
        <v>348292</v>
      </c>
      <c r="L27" s="202">
        <v>2875408</v>
      </c>
      <c r="M27" s="191">
        <v>1637598</v>
      </c>
      <c r="N27" s="211">
        <v>591048</v>
      </c>
      <c r="O27" s="206">
        <v>42965</v>
      </c>
      <c r="P27" s="191">
        <v>355480</v>
      </c>
      <c r="Q27" s="192">
        <v>399792</v>
      </c>
    </row>
    <row r="28" spans="1:17">
      <c r="A28" s="309"/>
      <c r="B28" s="144" t="s">
        <v>121</v>
      </c>
      <c r="C28" s="207">
        <v>1338374</v>
      </c>
      <c r="D28" s="189">
        <v>1677501</v>
      </c>
      <c r="E28" s="193">
        <v>1095152</v>
      </c>
      <c r="F28" s="203">
        <v>1086081</v>
      </c>
      <c r="G28" s="189">
        <v>842535</v>
      </c>
      <c r="H28" s="212">
        <v>319596</v>
      </c>
      <c r="I28" s="207">
        <v>674374</v>
      </c>
      <c r="J28" s="189">
        <v>635934</v>
      </c>
      <c r="K28" s="193">
        <v>150734</v>
      </c>
      <c r="L28" s="203">
        <v>1570684</v>
      </c>
      <c r="M28" s="189">
        <v>1207373</v>
      </c>
      <c r="N28" s="212">
        <v>171765</v>
      </c>
      <c r="O28" s="207">
        <v>38097</v>
      </c>
      <c r="P28" s="189">
        <v>195675</v>
      </c>
      <c r="Q28" s="193">
        <v>222635</v>
      </c>
    </row>
    <row r="29" spans="1:17">
      <c r="A29" s="309"/>
      <c r="B29" s="144" t="s">
        <v>122</v>
      </c>
      <c r="C29" s="207">
        <v>943749</v>
      </c>
      <c r="D29" s="189">
        <v>1659213</v>
      </c>
      <c r="E29" s="193">
        <v>729833</v>
      </c>
      <c r="F29" s="203">
        <v>592940</v>
      </c>
      <c r="G29" s="189">
        <v>515744</v>
      </c>
      <c r="H29" s="212">
        <v>152489</v>
      </c>
      <c r="I29" s="207">
        <v>389392</v>
      </c>
      <c r="J29" s="189">
        <v>402869</v>
      </c>
      <c r="K29" s="193">
        <v>61592</v>
      </c>
      <c r="L29" s="203">
        <v>1097035</v>
      </c>
      <c r="M29" s="189">
        <v>954648</v>
      </c>
      <c r="N29" s="212">
        <v>61401</v>
      </c>
      <c r="O29" s="207">
        <v>10592</v>
      </c>
      <c r="P29" s="189">
        <v>92482</v>
      </c>
      <c r="Q29" s="193">
        <v>109599</v>
      </c>
    </row>
    <row r="30" spans="1:17" ht="15.75" thickBot="1">
      <c r="A30" s="310"/>
      <c r="B30" s="219" t="s">
        <v>28</v>
      </c>
      <c r="C30" s="208">
        <v>528875</v>
      </c>
      <c r="D30" s="194">
        <v>1008608</v>
      </c>
      <c r="E30" s="195">
        <v>223977</v>
      </c>
      <c r="F30" s="204">
        <v>342270</v>
      </c>
      <c r="G30" s="194">
        <v>224141</v>
      </c>
      <c r="H30" s="213">
        <v>40932</v>
      </c>
      <c r="I30" s="208">
        <v>129107</v>
      </c>
      <c r="J30" s="194">
        <v>210520</v>
      </c>
      <c r="K30" s="195">
        <v>7269</v>
      </c>
      <c r="L30" s="204">
        <v>644932</v>
      </c>
      <c r="M30" s="194">
        <v>428939</v>
      </c>
      <c r="N30" s="213">
        <v>14194</v>
      </c>
      <c r="O30" s="208">
        <v>2897</v>
      </c>
      <c r="P30" s="194">
        <v>13389</v>
      </c>
      <c r="Q30" s="195">
        <v>20740</v>
      </c>
    </row>
    <row r="31" spans="1:17" ht="15.75" thickBot="1">
      <c r="A31" s="198" t="s">
        <v>7</v>
      </c>
      <c r="B31" s="220" t="s">
        <v>29</v>
      </c>
      <c r="C31" s="209">
        <v>4501556</v>
      </c>
      <c r="D31" s="199">
        <v>5987911</v>
      </c>
      <c r="E31" s="200">
        <v>3284039</v>
      </c>
      <c r="F31" s="205">
        <v>3586913</v>
      </c>
      <c r="G31" s="199">
        <v>2649560</v>
      </c>
      <c r="H31" s="214">
        <v>1292817</v>
      </c>
      <c r="I31" s="209">
        <v>2222781</v>
      </c>
      <c r="J31" s="199">
        <v>2012681</v>
      </c>
      <c r="K31" s="200">
        <v>567887</v>
      </c>
      <c r="L31" s="205">
        <v>6188059</v>
      </c>
      <c r="M31" s="199">
        <v>4228558</v>
      </c>
      <c r="N31" s="214">
        <v>838409</v>
      </c>
      <c r="O31" s="209">
        <v>94551</v>
      </c>
      <c r="P31" s="199">
        <v>657025</v>
      </c>
      <c r="Q31" s="200">
        <v>752766</v>
      </c>
    </row>
    <row r="34" spans="1:8">
      <c r="A34" s="104" t="s">
        <v>354</v>
      </c>
      <c r="B34" s="104"/>
      <c r="C34" s="298"/>
      <c r="D34" s="104"/>
      <c r="E34" s="104"/>
      <c r="F34" s="104"/>
      <c r="G34" s="104"/>
      <c r="H34" s="104"/>
    </row>
    <row r="35" spans="1:8">
      <c r="A35" s="5" t="s">
        <v>243</v>
      </c>
      <c r="C35" s="9"/>
    </row>
    <row r="36" spans="1:8">
      <c r="B36" s="5"/>
      <c r="C36" s="9"/>
    </row>
  </sheetData>
  <mergeCells count="9">
    <mergeCell ref="A21:A26"/>
    <mergeCell ref="A27:A30"/>
    <mergeCell ref="O4:Q4"/>
    <mergeCell ref="A6:A12"/>
    <mergeCell ref="A13:A16"/>
    <mergeCell ref="A17:A20"/>
    <mergeCell ref="F4:H4"/>
    <mergeCell ref="I4:K4"/>
    <mergeCell ref="L4:N4"/>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I56"/>
  <sheetViews>
    <sheetView zoomScaleNormal="100" zoomScalePageLayoutView="150" workbookViewId="0">
      <selection activeCell="Q8" sqref="Q8"/>
    </sheetView>
  </sheetViews>
  <sheetFormatPr defaultColWidth="8.85546875" defaultRowHeight="15"/>
  <cols>
    <col min="1" max="1" width="19.85546875" style="18" customWidth="1"/>
    <col min="2" max="2" width="33.140625" style="11" bestFit="1" customWidth="1"/>
    <col min="3" max="3" width="11.42578125" customWidth="1"/>
    <col min="4" max="4" width="10.42578125" customWidth="1"/>
    <col min="5" max="5" width="11.42578125" customWidth="1"/>
    <col min="6" max="6" width="12" customWidth="1"/>
    <col min="7" max="7" width="12.28515625" customWidth="1"/>
    <col min="8" max="8" width="10.42578125" customWidth="1"/>
    <col min="9" max="9" width="11.7109375" style="11" customWidth="1"/>
  </cols>
  <sheetData>
    <row r="1" spans="1:9">
      <c r="A1" s="165" t="s">
        <v>285</v>
      </c>
      <c r="C1" s="13"/>
      <c r="H1" s="12"/>
    </row>
    <row r="3" spans="1:9" ht="15.75" thickBot="1">
      <c r="A3" s="13" t="s">
        <v>366</v>
      </c>
      <c r="B3" s="14"/>
      <c r="C3" s="13"/>
      <c r="D3" s="13"/>
      <c r="E3" s="13"/>
      <c r="F3" s="13"/>
      <c r="G3" s="13"/>
      <c r="H3" s="13"/>
      <c r="I3" s="14"/>
    </row>
    <row r="4" spans="1:9">
      <c r="A4" s="322"/>
      <c r="B4" s="323"/>
      <c r="C4" s="319" t="s">
        <v>355</v>
      </c>
      <c r="D4" s="320"/>
      <c r="E4" s="319" t="s">
        <v>358</v>
      </c>
      <c r="F4" s="321"/>
      <c r="G4" s="320"/>
      <c r="H4" s="315" t="s">
        <v>6</v>
      </c>
      <c r="I4" s="317" t="s">
        <v>7</v>
      </c>
    </row>
    <row r="5" spans="1:9" ht="30.75" thickBot="1">
      <c r="A5" s="324"/>
      <c r="B5" s="325"/>
      <c r="C5" s="225" t="s">
        <v>356</v>
      </c>
      <c r="D5" s="225" t="s">
        <v>357</v>
      </c>
      <c r="E5" s="225" t="s">
        <v>361</v>
      </c>
      <c r="F5" s="225" t="s">
        <v>359</v>
      </c>
      <c r="G5" s="225" t="s">
        <v>360</v>
      </c>
      <c r="H5" s="316"/>
      <c r="I5" s="318"/>
    </row>
    <row r="6" spans="1:9">
      <c r="A6" s="226" t="s">
        <v>36</v>
      </c>
      <c r="B6" s="227" t="s">
        <v>37</v>
      </c>
      <c r="C6" s="236">
        <v>1039221</v>
      </c>
      <c r="D6" s="236">
        <v>505542</v>
      </c>
      <c r="E6" s="236">
        <v>2180085</v>
      </c>
      <c r="F6" s="236">
        <v>870131</v>
      </c>
      <c r="G6" s="236">
        <v>2889819</v>
      </c>
      <c r="H6" s="236">
        <v>124079</v>
      </c>
      <c r="I6" s="238">
        <f>SUM(C6:H6)</f>
        <v>7608877</v>
      </c>
    </row>
    <row r="7" spans="1:9">
      <c r="A7" s="222"/>
      <c r="B7" s="17" t="s">
        <v>38</v>
      </c>
      <c r="C7" s="239">
        <v>2347830</v>
      </c>
      <c r="D7" s="239">
        <v>406689</v>
      </c>
      <c r="E7" s="239">
        <v>1675957</v>
      </c>
      <c r="F7" s="239">
        <v>951259</v>
      </c>
      <c r="G7" s="239">
        <v>2124023</v>
      </c>
      <c r="H7" s="239">
        <v>162077</v>
      </c>
      <c r="I7" s="241">
        <f>SUM(C7:H7)</f>
        <v>7667835</v>
      </c>
    </row>
    <row r="8" spans="1:9">
      <c r="A8" s="222"/>
      <c r="B8" s="17" t="s">
        <v>39</v>
      </c>
      <c r="C8" s="239">
        <v>4609508</v>
      </c>
      <c r="D8" s="239">
        <v>964506</v>
      </c>
      <c r="E8" s="239">
        <v>1958086</v>
      </c>
      <c r="F8" s="239">
        <v>1677395</v>
      </c>
      <c r="G8" s="239">
        <v>3351747</v>
      </c>
      <c r="H8" s="239">
        <v>924267</v>
      </c>
      <c r="I8" s="241">
        <f>SUM(C8:H8)</f>
        <v>13485509</v>
      </c>
    </row>
    <row r="9" spans="1:9" ht="15.75" thickBot="1">
      <c r="A9" s="228"/>
      <c r="B9" s="224" t="s">
        <v>40</v>
      </c>
      <c r="C9" s="242">
        <v>3122146</v>
      </c>
      <c r="D9" s="242">
        <v>778064</v>
      </c>
      <c r="E9" s="242">
        <v>1715162</v>
      </c>
      <c r="F9" s="242">
        <v>1304564</v>
      </c>
      <c r="G9" s="242">
        <v>2889437</v>
      </c>
      <c r="H9" s="242">
        <v>293920</v>
      </c>
      <c r="I9" s="244">
        <f>SUM(C9:H9)</f>
        <v>10103293</v>
      </c>
    </row>
    <row r="10" spans="1:9">
      <c r="A10" s="226" t="s">
        <v>41</v>
      </c>
      <c r="B10" s="227" t="s">
        <v>8</v>
      </c>
      <c r="C10" s="236">
        <v>3308017</v>
      </c>
      <c r="D10" s="236">
        <v>1193539</v>
      </c>
      <c r="E10" s="236">
        <v>3586913</v>
      </c>
      <c r="F10" s="236">
        <v>2222781</v>
      </c>
      <c r="G10" s="236">
        <v>6188059</v>
      </c>
      <c r="H10" s="236">
        <v>94551</v>
      </c>
      <c r="I10" s="238">
        <f>SUM(C10:H10)</f>
        <v>16593860</v>
      </c>
    </row>
    <row r="11" spans="1:9">
      <c r="A11" s="222"/>
      <c r="B11" s="17" t="s">
        <v>304</v>
      </c>
      <c r="C11" s="239">
        <v>4762287</v>
      </c>
      <c r="D11" s="239">
        <v>1225624</v>
      </c>
      <c r="E11" s="239">
        <v>2649560</v>
      </c>
      <c r="F11" s="239">
        <v>2012681</v>
      </c>
      <c r="G11" s="239">
        <v>4228558</v>
      </c>
      <c r="H11" s="239">
        <v>657025</v>
      </c>
      <c r="I11" s="245">
        <v>15535735</v>
      </c>
    </row>
    <row r="12" spans="1:9" ht="15.75" thickBot="1">
      <c r="A12" s="228"/>
      <c r="B12" s="224" t="s">
        <v>305</v>
      </c>
      <c r="C12" s="242">
        <v>3048401</v>
      </c>
      <c r="D12" s="242">
        <v>235638</v>
      </c>
      <c r="E12" s="242">
        <v>1292817</v>
      </c>
      <c r="F12" s="242">
        <v>567887</v>
      </c>
      <c r="G12" s="242">
        <v>838409</v>
      </c>
      <c r="H12" s="242">
        <v>752766</v>
      </c>
      <c r="I12" s="244">
        <v>6735918</v>
      </c>
    </row>
    <row r="13" spans="1:9">
      <c r="A13" s="226" t="s">
        <v>308</v>
      </c>
      <c r="B13" s="229" t="s">
        <v>37</v>
      </c>
      <c r="C13" s="236"/>
      <c r="D13" s="236"/>
      <c r="E13" s="236"/>
      <c r="F13" s="236"/>
      <c r="G13" s="236"/>
      <c r="H13" s="236"/>
      <c r="I13" s="238"/>
    </row>
    <row r="14" spans="1:9">
      <c r="A14" s="221"/>
      <c r="B14" s="17" t="s">
        <v>362</v>
      </c>
      <c r="C14" s="239">
        <v>242191</v>
      </c>
      <c r="D14" s="239">
        <v>266690</v>
      </c>
      <c r="E14" s="239">
        <v>1172292</v>
      </c>
      <c r="F14" s="239">
        <v>414635</v>
      </c>
      <c r="G14" s="239">
        <v>1932074</v>
      </c>
      <c r="H14" s="240">
        <v>101</v>
      </c>
      <c r="I14" s="241">
        <f t="shared" ref="I14:I28" si="0">SUM(C14:H14)</f>
        <v>4027983</v>
      </c>
    </row>
    <row r="15" spans="1:9">
      <c r="A15" s="223"/>
      <c r="B15" s="17" t="s">
        <v>363</v>
      </c>
      <c r="C15" s="239">
        <v>565758</v>
      </c>
      <c r="D15" s="239">
        <v>210117</v>
      </c>
      <c r="E15" s="239">
        <v>803520</v>
      </c>
      <c r="F15" s="239">
        <v>362499</v>
      </c>
      <c r="G15" s="239">
        <v>817425</v>
      </c>
      <c r="H15" s="240">
        <v>86147</v>
      </c>
      <c r="I15" s="241">
        <f t="shared" si="0"/>
        <v>2845466</v>
      </c>
    </row>
    <row r="16" spans="1:9">
      <c r="A16" s="223"/>
      <c r="B16" s="17" t="s">
        <v>364</v>
      </c>
      <c r="C16" s="239">
        <v>231272</v>
      </c>
      <c r="D16" s="239">
        <v>28734</v>
      </c>
      <c r="E16" s="239">
        <v>204273</v>
      </c>
      <c r="F16" s="239">
        <v>92997</v>
      </c>
      <c r="G16" s="239">
        <v>140320</v>
      </c>
      <c r="H16" s="240">
        <v>37831</v>
      </c>
      <c r="I16" s="241">
        <f t="shared" si="0"/>
        <v>735427</v>
      </c>
    </row>
    <row r="17" spans="1:9">
      <c r="A17" s="223"/>
      <c r="B17" s="16" t="s">
        <v>365</v>
      </c>
      <c r="C17" s="239"/>
      <c r="D17" s="239"/>
      <c r="E17" s="239"/>
      <c r="F17" s="239"/>
      <c r="G17" s="239"/>
      <c r="H17" s="240"/>
      <c r="I17" s="241"/>
    </row>
    <row r="18" spans="1:9">
      <c r="A18" s="223"/>
      <c r="B18" s="17" t="s">
        <v>362</v>
      </c>
      <c r="C18" s="239">
        <v>730814</v>
      </c>
      <c r="D18" s="239">
        <v>174532</v>
      </c>
      <c r="E18" s="239">
        <v>834171</v>
      </c>
      <c r="F18" s="239">
        <v>397603</v>
      </c>
      <c r="G18" s="239">
        <v>985389</v>
      </c>
      <c r="H18" s="240">
        <v>17001</v>
      </c>
      <c r="I18" s="241">
        <f t="shared" si="0"/>
        <v>3139510</v>
      </c>
    </row>
    <row r="19" spans="1:9">
      <c r="A19" s="223"/>
      <c r="B19" s="17" t="s">
        <v>363</v>
      </c>
      <c r="C19" s="239">
        <v>831755</v>
      </c>
      <c r="D19" s="239">
        <v>174093</v>
      </c>
      <c r="E19" s="239">
        <v>477781</v>
      </c>
      <c r="F19" s="239">
        <v>390732</v>
      </c>
      <c r="G19" s="239">
        <v>825440</v>
      </c>
      <c r="H19" s="240">
        <v>58866</v>
      </c>
      <c r="I19" s="241">
        <f t="shared" si="0"/>
        <v>2758667</v>
      </c>
    </row>
    <row r="20" spans="1:9">
      <c r="A20" s="223"/>
      <c r="B20" s="17" t="s">
        <v>364</v>
      </c>
      <c r="C20" s="239">
        <v>785261</v>
      </c>
      <c r="D20" s="239">
        <v>58064</v>
      </c>
      <c r="E20" s="239">
        <v>364006</v>
      </c>
      <c r="F20" s="239">
        <v>162924</v>
      </c>
      <c r="G20" s="239">
        <v>313193</v>
      </c>
      <c r="H20" s="240">
        <v>86209</v>
      </c>
      <c r="I20" s="241">
        <f t="shared" si="0"/>
        <v>1769657</v>
      </c>
    </row>
    <row r="21" spans="1:9">
      <c r="A21" s="223"/>
      <c r="B21" s="16" t="s">
        <v>39</v>
      </c>
      <c r="C21" s="239"/>
      <c r="D21" s="239"/>
      <c r="E21" s="239"/>
      <c r="F21" s="239"/>
      <c r="G21" s="239"/>
      <c r="H21" s="240"/>
      <c r="I21" s="241"/>
    </row>
    <row r="22" spans="1:9">
      <c r="A22" s="223"/>
      <c r="B22" s="17" t="s">
        <v>362</v>
      </c>
      <c r="C22" s="239">
        <v>1285793</v>
      </c>
      <c r="D22" s="239">
        <v>416853</v>
      </c>
      <c r="E22" s="239">
        <v>821396</v>
      </c>
      <c r="F22" s="239">
        <v>787235</v>
      </c>
      <c r="G22" s="239">
        <v>1716546</v>
      </c>
      <c r="H22" s="240">
        <v>42241</v>
      </c>
      <c r="I22" s="241">
        <f t="shared" si="0"/>
        <v>5070064</v>
      </c>
    </row>
    <row r="23" spans="1:9">
      <c r="A23" s="223"/>
      <c r="B23" s="17" t="s">
        <v>363</v>
      </c>
      <c r="C23" s="239">
        <v>1893173</v>
      </c>
      <c r="D23" s="239">
        <v>465181</v>
      </c>
      <c r="E23" s="239">
        <v>678438</v>
      </c>
      <c r="F23" s="239">
        <v>665719</v>
      </c>
      <c r="G23" s="239">
        <v>1378986</v>
      </c>
      <c r="H23" s="239">
        <v>407413</v>
      </c>
      <c r="I23" s="245">
        <v>5488910</v>
      </c>
    </row>
    <row r="24" spans="1:9">
      <c r="A24" s="223"/>
      <c r="B24" s="17" t="s">
        <v>364</v>
      </c>
      <c r="C24" s="239">
        <v>1430541</v>
      </c>
      <c r="D24" s="239">
        <v>82471</v>
      </c>
      <c r="E24" s="239">
        <v>458252</v>
      </c>
      <c r="F24" s="239">
        <v>224440</v>
      </c>
      <c r="G24" s="239">
        <v>256215</v>
      </c>
      <c r="H24" s="239">
        <v>474613</v>
      </c>
      <c r="I24" s="245">
        <v>2926532</v>
      </c>
    </row>
    <row r="25" spans="1:9">
      <c r="A25" s="223"/>
      <c r="B25" s="16" t="s">
        <v>40</v>
      </c>
      <c r="C25" s="239"/>
      <c r="D25" s="239"/>
      <c r="E25" s="239"/>
      <c r="F25" s="239"/>
      <c r="G25" s="239"/>
      <c r="H25" s="239"/>
      <c r="I25" s="245"/>
    </row>
    <row r="26" spans="1:9">
      <c r="A26" s="223"/>
      <c r="B26" s="17" t="s">
        <v>362</v>
      </c>
      <c r="C26" s="239">
        <v>1049218</v>
      </c>
      <c r="D26" s="239">
        <v>335464</v>
      </c>
      <c r="E26" s="239">
        <v>759054</v>
      </c>
      <c r="F26" s="239">
        <v>623308</v>
      </c>
      <c r="G26" s="239">
        <v>1554050</v>
      </c>
      <c r="H26" s="240">
        <v>35208</v>
      </c>
      <c r="I26" s="241">
        <f t="shared" si="0"/>
        <v>4356302</v>
      </c>
    </row>
    <row r="27" spans="1:9">
      <c r="A27" s="222"/>
      <c r="B27" s="17" t="s">
        <v>363</v>
      </c>
      <c r="C27" s="239">
        <v>1471601</v>
      </c>
      <c r="D27" s="239">
        <v>376232</v>
      </c>
      <c r="E27" s="239">
        <v>689821</v>
      </c>
      <c r="F27" s="239">
        <v>593731</v>
      </c>
      <c r="G27" s="239">
        <v>1206707</v>
      </c>
      <c r="H27" s="240">
        <v>104599</v>
      </c>
      <c r="I27" s="241">
        <f t="shared" si="0"/>
        <v>4442691</v>
      </c>
    </row>
    <row r="28" spans="1:9" ht="15.75" thickBot="1">
      <c r="A28" s="228"/>
      <c r="B28" s="224" t="s">
        <v>364</v>
      </c>
      <c r="C28" s="242">
        <v>601327</v>
      </c>
      <c r="D28" s="242">
        <v>66368</v>
      </c>
      <c r="E28" s="242">
        <v>266287</v>
      </c>
      <c r="F28" s="242">
        <v>87526</v>
      </c>
      <c r="G28" s="242">
        <v>128680</v>
      </c>
      <c r="H28" s="243">
        <v>154113</v>
      </c>
      <c r="I28" s="244">
        <f t="shared" si="0"/>
        <v>1304301</v>
      </c>
    </row>
    <row r="29" spans="1:9">
      <c r="A29" s="226" t="s">
        <v>35</v>
      </c>
      <c r="B29" s="227" t="s">
        <v>325</v>
      </c>
      <c r="C29" s="236">
        <v>2495649</v>
      </c>
      <c r="D29" s="236">
        <v>375897</v>
      </c>
      <c r="E29" s="236">
        <v>2244448</v>
      </c>
      <c r="F29" s="236">
        <v>660144</v>
      </c>
      <c r="G29" s="236">
        <v>1359292</v>
      </c>
      <c r="H29" s="237">
        <v>17582</v>
      </c>
      <c r="I29" s="238">
        <f>SUM(C29:H29)</f>
        <v>7153012</v>
      </c>
    </row>
    <row r="30" spans="1:9">
      <c r="A30" s="222"/>
      <c r="B30" s="17" t="s">
        <v>309</v>
      </c>
      <c r="C30" s="239">
        <v>2814310</v>
      </c>
      <c r="D30" s="239">
        <v>317492</v>
      </c>
      <c r="E30" s="239">
        <v>1164630</v>
      </c>
      <c r="F30" s="239">
        <v>463952</v>
      </c>
      <c r="G30" s="239">
        <v>1015586</v>
      </c>
      <c r="H30" s="240">
        <v>48238</v>
      </c>
      <c r="I30" s="241">
        <f>SUM(C30:H30)</f>
        <v>5824208</v>
      </c>
    </row>
    <row r="31" spans="1:9">
      <c r="A31" s="222"/>
      <c r="B31" s="17" t="s">
        <v>310</v>
      </c>
      <c r="C31" s="239">
        <v>3201825</v>
      </c>
      <c r="D31" s="239">
        <v>817372</v>
      </c>
      <c r="E31" s="239">
        <v>2439905</v>
      </c>
      <c r="F31" s="239">
        <v>1879656</v>
      </c>
      <c r="G31" s="239">
        <v>4487883</v>
      </c>
      <c r="H31" s="240">
        <v>533468</v>
      </c>
      <c r="I31" s="241">
        <f>SUM(C31:H31)</f>
        <v>13360109</v>
      </c>
    </row>
    <row r="32" spans="1:9">
      <c r="A32" s="222"/>
      <c r="B32" s="17" t="s">
        <v>311</v>
      </c>
      <c r="C32" s="239">
        <v>1552336</v>
      </c>
      <c r="D32" s="239">
        <v>731259</v>
      </c>
      <c r="E32" s="239">
        <v>1242840</v>
      </c>
      <c r="F32" s="239">
        <v>1403673</v>
      </c>
      <c r="G32" s="239">
        <v>2890700</v>
      </c>
      <c r="H32" s="240">
        <v>742055</v>
      </c>
      <c r="I32" s="241">
        <f>SUM(C32:H32)</f>
        <v>8562863</v>
      </c>
    </row>
    <row r="33" spans="1:9" ht="15.75" thickBot="1">
      <c r="A33" s="228"/>
      <c r="B33" s="224" t="s">
        <v>348</v>
      </c>
      <c r="C33" s="242">
        <v>1054585</v>
      </c>
      <c r="D33" s="242">
        <v>412781</v>
      </c>
      <c r="E33" s="242">
        <v>437467</v>
      </c>
      <c r="F33" s="242">
        <v>395924</v>
      </c>
      <c r="G33" s="242">
        <v>1501566</v>
      </c>
      <c r="H33" s="243">
        <v>162999</v>
      </c>
      <c r="I33" s="244">
        <f>SUM(C33:H33)</f>
        <v>3965322</v>
      </c>
    </row>
    <row r="34" spans="1:9">
      <c r="A34" s="226" t="s">
        <v>33</v>
      </c>
      <c r="B34" s="227" t="s">
        <v>42</v>
      </c>
      <c r="C34" s="236">
        <v>1196030</v>
      </c>
      <c r="D34" s="236">
        <v>280165</v>
      </c>
      <c r="E34" s="236">
        <v>990618</v>
      </c>
      <c r="F34" s="236">
        <v>561574</v>
      </c>
      <c r="G34" s="236">
        <v>1396464</v>
      </c>
      <c r="H34" s="237">
        <v>362551</v>
      </c>
      <c r="I34" s="238">
        <f t="shared" ref="I34:I39" si="1">SUM(C34:H34)</f>
        <v>4787402</v>
      </c>
    </row>
    <row r="35" spans="1:9">
      <c r="A35" s="222"/>
      <c r="B35" s="17" t="s">
        <v>313</v>
      </c>
      <c r="C35" s="239">
        <v>1772416</v>
      </c>
      <c r="D35" s="239">
        <v>386607</v>
      </c>
      <c r="E35" s="239">
        <v>1799919</v>
      </c>
      <c r="F35" s="239">
        <v>1157318</v>
      </c>
      <c r="G35" s="239">
        <v>2027606</v>
      </c>
      <c r="H35" s="240">
        <v>555675</v>
      </c>
      <c r="I35" s="241">
        <f t="shared" si="1"/>
        <v>7699541</v>
      </c>
    </row>
    <row r="36" spans="1:9">
      <c r="A36" s="222"/>
      <c r="B36" s="17" t="s">
        <v>314</v>
      </c>
      <c r="C36" s="239">
        <v>1950972</v>
      </c>
      <c r="D36" s="239">
        <v>538986</v>
      </c>
      <c r="E36" s="239">
        <v>1721266</v>
      </c>
      <c r="F36" s="239">
        <v>1309282</v>
      </c>
      <c r="G36" s="239">
        <v>2484654</v>
      </c>
      <c r="H36" s="240">
        <v>215580</v>
      </c>
      <c r="I36" s="241">
        <f t="shared" si="1"/>
        <v>8220740</v>
      </c>
    </row>
    <row r="37" spans="1:9">
      <c r="A37" s="222"/>
      <c r="B37" s="17" t="s">
        <v>315</v>
      </c>
      <c r="C37" s="239">
        <v>4654265</v>
      </c>
      <c r="D37" s="239">
        <v>1278466</v>
      </c>
      <c r="E37" s="239">
        <v>2660420</v>
      </c>
      <c r="F37" s="239">
        <v>1651154</v>
      </c>
      <c r="G37" s="239">
        <v>5037792</v>
      </c>
      <c r="H37" s="240">
        <v>111105</v>
      </c>
      <c r="I37" s="241">
        <f t="shared" si="1"/>
        <v>15393202</v>
      </c>
    </row>
    <row r="38" spans="1:9">
      <c r="A38" s="222"/>
      <c r="B38" s="17" t="s">
        <v>43</v>
      </c>
      <c r="C38" s="239">
        <v>1315413</v>
      </c>
      <c r="D38" s="239">
        <v>122244</v>
      </c>
      <c r="E38" s="239">
        <v>175068</v>
      </c>
      <c r="F38" s="239">
        <v>27778</v>
      </c>
      <c r="G38" s="239">
        <v>100810</v>
      </c>
      <c r="H38" s="240">
        <v>211195</v>
      </c>
      <c r="I38" s="241">
        <f t="shared" si="1"/>
        <v>1952508</v>
      </c>
    </row>
    <row r="39" spans="1:9" ht="15.75" thickBot="1">
      <c r="A39" s="228"/>
      <c r="B39" s="224" t="s">
        <v>316</v>
      </c>
      <c r="C39" s="242">
        <v>229608</v>
      </c>
      <c r="D39" s="242">
        <v>48332</v>
      </c>
      <c r="E39" s="242">
        <v>182000</v>
      </c>
      <c r="F39" s="242">
        <v>96243</v>
      </c>
      <c r="G39" s="242">
        <v>207699</v>
      </c>
      <c r="H39" s="243">
        <v>48236.3</v>
      </c>
      <c r="I39" s="244">
        <f t="shared" si="1"/>
        <v>812118.3</v>
      </c>
    </row>
    <row r="40" spans="1:9">
      <c r="A40" s="230" t="s">
        <v>317</v>
      </c>
      <c r="B40" s="227">
        <v>0</v>
      </c>
      <c r="C40" s="236">
        <v>23786</v>
      </c>
      <c r="D40" s="236">
        <v>18174</v>
      </c>
      <c r="E40" s="236">
        <v>96348</v>
      </c>
      <c r="F40" s="236">
        <v>92558</v>
      </c>
      <c r="G40" s="236">
        <v>611800</v>
      </c>
      <c r="H40" s="237">
        <v>0</v>
      </c>
      <c r="I40" s="238">
        <v>842666</v>
      </c>
    </row>
    <row r="41" spans="1:9">
      <c r="A41" s="222"/>
      <c r="B41" s="17">
        <v>1</v>
      </c>
      <c r="C41" s="239">
        <v>567958</v>
      </c>
      <c r="D41" s="239">
        <v>417007</v>
      </c>
      <c r="E41" s="239">
        <v>1994773</v>
      </c>
      <c r="F41" s="239">
        <v>1747830</v>
      </c>
      <c r="G41" s="239">
        <v>5529799</v>
      </c>
      <c r="H41" s="240">
        <v>97644</v>
      </c>
      <c r="I41" s="241">
        <v>10355010</v>
      </c>
    </row>
    <row r="42" spans="1:9">
      <c r="A42" s="222"/>
      <c r="B42" s="17">
        <v>2</v>
      </c>
      <c r="C42" s="239">
        <v>2819914</v>
      </c>
      <c r="D42" s="239">
        <v>1198371</v>
      </c>
      <c r="E42" s="239">
        <v>3990450</v>
      </c>
      <c r="F42" s="239">
        <v>2397431</v>
      </c>
      <c r="G42" s="239">
        <v>4321614</v>
      </c>
      <c r="H42" s="240">
        <v>739085</v>
      </c>
      <c r="I42" s="241">
        <v>15466865</v>
      </c>
    </row>
    <row r="43" spans="1:9">
      <c r="A43" s="222"/>
      <c r="B43" s="17">
        <v>3</v>
      </c>
      <c r="C43" s="239">
        <v>5379179</v>
      </c>
      <c r="D43" s="239">
        <v>845443</v>
      </c>
      <c r="E43" s="239">
        <v>1249941</v>
      </c>
      <c r="F43" s="239">
        <v>506646</v>
      </c>
      <c r="G43" s="239">
        <v>677874</v>
      </c>
      <c r="H43" s="240">
        <v>619773</v>
      </c>
      <c r="I43" s="241">
        <v>9278856</v>
      </c>
    </row>
    <row r="44" spans="1:9">
      <c r="A44" s="222"/>
      <c r="B44" s="17">
        <v>4</v>
      </c>
      <c r="C44" s="239">
        <v>1881630</v>
      </c>
      <c r="D44" s="239">
        <v>148727</v>
      </c>
      <c r="E44" s="239">
        <v>161382</v>
      </c>
      <c r="F44" s="239">
        <v>53742</v>
      </c>
      <c r="G44" s="239">
        <v>94610</v>
      </c>
      <c r="H44" s="240">
        <v>43186</v>
      </c>
      <c r="I44" s="241">
        <v>2383277</v>
      </c>
    </row>
    <row r="45" spans="1:9" ht="15.75" thickBot="1">
      <c r="A45" s="228"/>
      <c r="B45" s="224" t="s">
        <v>318</v>
      </c>
      <c r="C45" s="242">
        <v>446238</v>
      </c>
      <c r="D45" s="242">
        <v>27078</v>
      </c>
      <c r="E45" s="242">
        <v>36396</v>
      </c>
      <c r="F45" s="242">
        <v>5142</v>
      </c>
      <c r="G45" s="242">
        <v>19330</v>
      </c>
      <c r="H45" s="243">
        <v>4654</v>
      </c>
      <c r="I45" s="244">
        <v>538838</v>
      </c>
    </row>
    <row r="46" spans="1:9">
      <c r="A46" s="230" t="s">
        <v>44</v>
      </c>
      <c r="B46" s="227" t="s">
        <v>349</v>
      </c>
      <c r="C46" s="236">
        <v>812254.5</v>
      </c>
      <c r="D46" s="236">
        <v>350678.1</v>
      </c>
      <c r="E46" s="236">
        <v>2058629</v>
      </c>
      <c r="F46" s="236">
        <v>1674734</v>
      </c>
      <c r="G46" s="236">
        <v>4747526</v>
      </c>
      <c r="H46" s="237">
        <v>331438.59999999998</v>
      </c>
      <c r="I46" s="238">
        <f t="shared" ref="I46:I48" si="2">SUM(C46:H46)</f>
        <v>9975260.1999999993</v>
      </c>
    </row>
    <row r="47" spans="1:9">
      <c r="A47" s="222"/>
      <c r="B47" s="17" t="s">
        <v>319</v>
      </c>
      <c r="C47" s="239">
        <v>2234954</v>
      </c>
      <c r="D47" s="239">
        <v>728004.3</v>
      </c>
      <c r="E47" s="239">
        <v>2552728</v>
      </c>
      <c r="F47" s="239">
        <v>1783477</v>
      </c>
      <c r="G47" s="239">
        <v>3689756</v>
      </c>
      <c r="H47" s="240">
        <v>606662.30000000005</v>
      </c>
      <c r="I47" s="241">
        <f t="shared" si="2"/>
        <v>11595581.600000001</v>
      </c>
    </row>
    <row r="48" spans="1:9" ht="15.75" thickBot="1">
      <c r="A48" s="228"/>
      <c r="B48" s="224" t="s">
        <v>350</v>
      </c>
      <c r="C48" s="242">
        <v>6712941</v>
      </c>
      <c r="D48" s="242">
        <v>954032.7</v>
      </c>
      <c r="E48" s="242">
        <v>1463969</v>
      </c>
      <c r="F48" s="242">
        <v>634056.19999999995</v>
      </c>
      <c r="G48" s="242">
        <v>1126025</v>
      </c>
      <c r="H48" s="243">
        <v>365247.2</v>
      </c>
      <c r="I48" s="244">
        <f t="shared" si="2"/>
        <v>11256271.099999998</v>
      </c>
    </row>
    <row r="49" spans="1:9">
      <c r="A49" s="230" t="s">
        <v>45</v>
      </c>
      <c r="B49" s="227" t="s">
        <v>46</v>
      </c>
      <c r="C49" s="236">
        <v>10533203</v>
      </c>
      <c r="D49" s="236">
        <v>2299760</v>
      </c>
      <c r="E49" s="236">
        <v>6471953</v>
      </c>
      <c r="F49" s="236">
        <v>3967471</v>
      </c>
      <c r="G49" s="236">
        <v>9049428</v>
      </c>
      <c r="H49" s="237">
        <v>1459874</v>
      </c>
      <c r="I49" s="238">
        <v>33781688</v>
      </c>
    </row>
    <row r="50" spans="1:9" ht="15.75" thickBot="1">
      <c r="A50" s="228"/>
      <c r="B50" s="224" t="s">
        <v>47</v>
      </c>
      <c r="C50" s="242">
        <v>585501</v>
      </c>
      <c r="D50" s="242">
        <v>355041</v>
      </c>
      <c r="E50" s="242">
        <v>1057337</v>
      </c>
      <c r="F50" s="242">
        <v>835878</v>
      </c>
      <c r="G50" s="242">
        <v>2205598</v>
      </c>
      <c r="H50" s="243">
        <v>44469</v>
      </c>
      <c r="I50" s="244">
        <v>5083825</v>
      </c>
    </row>
    <row r="51" spans="1:9" ht="15.75" thickBot="1">
      <c r="A51" s="231" t="s">
        <v>7</v>
      </c>
      <c r="B51" s="232" t="s">
        <v>48</v>
      </c>
      <c r="C51" s="246">
        <f t="shared" ref="C51:H51" si="3">SUM(C6:C9)</f>
        <v>11118705</v>
      </c>
      <c r="D51" s="246">
        <f t="shared" si="3"/>
        <v>2654801</v>
      </c>
      <c r="E51" s="246">
        <f t="shared" si="3"/>
        <v>7529290</v>
      </c>
      <c r="F51" s="246">
        <f t="shared" si="3"/>
        <v>4803349</v>
      </c>
      <c r="G51" s="246">
        <f t="shared" si="3"/>
        <v>11255026</v>
      </c>
      <c r="H51" s="246">
        <f t="shared" si="3"/>
        <v>1504343</v>
      </c>
      <c r="I51" s="247">
        <f>SUM(C51:H51)</f>
        <v>38865514</v>
      </c>
    </row>
    <row r="53" spans="1:9">
      <c r="A53" s="15" t="s">
        <v>320</v>
      </c>
      <c r="F53" s="11"/>
      <c r="I53"/>
    </row>
    <row r="54" spans="1:9">
      <c r="A54" s="18" t="s">
        <v>242</v>
      </c>
      <c r="B54"/>
      <c r="I54"/>
    </row>
    <row r="55" spans="1:9">
      <c r="B55"/>
      <c r="I55"/>
    </row>
    <row r="56" spans="1:9">
      <c r="B56"/>
      <c r="I56"/>
    </row>
  </sheetData>
  <mergeCells count="5">
    <mergeCell ref="H4:H5"/>
    <mergeCell ref="I4:I5"/>
    <mergeCell ref="C4:D4"/>
    <mergeCell ref="E4:G4"/>
    <mergeCell ref="A4:B5"/>
  </mergeCells>
  <pageMargins left="0.7" right="0.7" top="0.75" bottom="0.75" header="0.3" footer="0.3"/>
  <pageSetup scale="68" orientation="portrait"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L26"/>
  <sheetViews>
    <sheetView zoomScaleNormal="100" zoomScalePageLayoutView="150" workbookViewId="0">
      <selection activeCell="B1" sqref="B1"/>
    </sheetView>
  </sheetViews>
  <sheetFormatPr defaultColWidth="8.85546875" defaultRowHeight="15"/>
  <cols>
    <col min="1" max="1" width="3" customWidth="1"/>
    <col min="2" max="2" width="41.140625" customWidth="1"/>
    <col min="3" max="3" width="13" customWidth="1"/>
    <col min="4" max="4" width="13.42578125" customWidth="1"/>
    <col min="5" max="5" width="13.42578125" bestFit="1" customWidth="1"/>
    <col min="6" max="6" width="12.42578125" customWidth="1"/>
    <col min="7" max="7" width="11.7109375" customWidth="1"/>
    <col min="8" max="8" width="12.7109375" customWidth="1"/>
    <col min="9" max="9" width="10" customWidth="1"/>
  </cols>
  <sheetData>
    <row r="1" spans="2:9">
      <c r="B1" s="1" t="s">
        <v>321</v>
      </c>
    </row>
    <row r="2" spans="2:9" ht="15.75" thickBot="1">
      <c r="B2" s="13" t="s">
        <v>377</v>
      </c>
    </row>
    <row r="3" spans="2:9">
      <c r="B3" s="249"/>
      <c r="C3" s="248"/>
      <c r="D3" s="326" t="s">
        <v>322</v>
      </c>
      <c r="E3" s="327"/>
      <c r="F3" s="327"/>
      <c r="G3" s="327"/>
      <c r="H3" s="327"/>
      <c r="I3" s="328"/>
    </row>
    <row r="4" spans="2:9" ht="45.75" thickBot="1">
      <c r="B4" s="65"/>
      <c r="C4" s="184" t="s">
        <v>7</v>
      </c>
      <c r="D4" s="184" t="s">
        <v>306</v>
      </c>
      <c r="E4" s="184" t="s">
        <v>307</v>
      </c>
      <c r="F4" s="184" t="s">
        <v>336</v>
      </c>
      <c r="G4" s="184" t="s">
        <v>346</v>
      </c>
      <c r="H4" s="184" t="s">
        <v>303</v>
      </c>
      <c r="I4" s="250" t="s">
        <v>227</v>
      </c>
    </row>
    <row r="5" spans="2:9">
      <c r="B5" s="38" t="s">
        <v>323</v>
      </c>
      <c r="C5" s="282">
        <v>5.5655110800791805</v>
      </c>
      <c r="D5" s="282">
        <v>6.4341520538646506</v>
      </c>
      <c r="E5" s="282">
        <v>5.4538994245300003</v>
      </c>
      <c r="F5" s="282">
        <v>7.4032862313869892</v>
      </c>
      <c r="G5" s="282">
        <v>3.9990642187219398</v>
      </c>
      <c r="H5" s="282">
        <v>3.0984754456086199</v>
      </c>
      <c r="I5" s="283">
        <v>20.659950949807602</v>
      </c>
    </row>
    <row r="6" spans="2:9">
      <c r="B6" s="279" t="s">
        <v>30</v>
      </c>
      <c r="C6" s="284">
        <v>5.1287225045279898</v>
      </c>
      <c r="D6" s="284">
        <v>5.8900705017491406</v>
      </c>
      <c r="E6" s="284">
        <v>5.1826964220067397</v>
      </c>
      <c r="F6" s="284">
        <v>6.6851276779751307</v>
      </c>
      <c r="G6" s="284">
        <v>3.8018574544850701</v>
      </c>
      <c r="H6" s="284">
        <v>2.82211180793646</v>
      </c>
      <c r="I6" s="285">
        <v>19.594246147009802</v>
      </c>
    </row>
    <row r="7" spans="2:9">
      <c r="B7" s="279" t="s">
        <v>31</v>
      </c>
      <c r="C7" s="284">
        <v>9.7461053096340891</v>
      </c>
      <c r="D7" s="284">
        <v>12.487007021238099</v>
      </c>
      <c r="E7" s="284">
        <v>7.9641205325858406</v>
      </c>
      <c r="F7" s="284">
        <v>15.0721803646402</v>
      </c>
      <c r="G7" s="284">
        <v>6.0312065721929704</v>
      </c>
      <c r="H7" s="284">
        <v>5.3674088496262602</v>
      </c>
      <c r="I7" s="285">
        <v>28.012666550377702</v>
      </c>
    </row>
    <row r="8" spans="2:9" ht="15.75" thickBot="1">
      <c r="B8" s="280" t="s">
        <v>32</v>
      </c>
      <c r="C8" s="286">
        <v>16.147568525344099</v>
      </c>
      <c r="D8" s="286">
        <v>9.4102283403382003</v>
      </c>
      <c r="E8" s="286">
        <v>31.751843858941797</v>
      </c>
      <c r="F8" s="286">
        <v>15.338471881598799</v>
      </c>
      <c r="G8" s="286">
        <v>29.926072530414999</v>
      </c>
      <c r="H8" s="286">
        <v>10.132259355776901</v>
      </c>
      <c r="I8" s="287">
        <v>34.3473927113344</v>
      </c>
    </row>
    <row r="9" spans="2:9">
      <c r="B9" s="251" t="s">
        <v>33</v>
      </c>
      <c r="C9" s="288"/>
      <c r="D9" s="288"/>
      <c r="E9" s="288"/>
      <c r="F9" s="288"/>
      <c r="G9" s="288"/>
      <c r="H9" s="288"/>
      <c r="I9" s="289"/>
    </row>
    <row r="10" spans="2:9">
      <c r="B10" s="279" t="s">
        <v>34</v>
      </c>
      <c r="C10" s="284">
        <v>12.7888085023204</v>
      </c>
      <c r="D10" s="284">
        <v>10.616079087492301</v>
      </c>
      <c r="E10" s="284">
        <v>15.913242525165899</v>
      </c>
      <c r="F10" s="284">
        <v>16.7524441532276</v>
      </c>
      <c r="G10" s="284">
        <v>9.3986205553699804</v>
      </c>
      <c r="H10" s="284">
        <v>9.1501818037555811</v>
      </c>
      <c r="I10" s="285">
        <v>22.593537063969499</v>
      </c>
    </row>
    <row r="11" spans="2:9">
      <c r="B11" s="279" t="s">
        <v>313</v>
      </c>
      <c r="C11" s="284">
        <v>6.7282069800013806</v>
      </c>
      <c r="D11" s="284">
        <v>7.6757159560421107</v>
      </c>
      <c r="E11" s="284">
        <v>6.8917876061107801</v>
      </c>
      <c r="F11" s="284">
        <v>7.4012536544248704</v>
      </c>
      <c r="G11" s="284">
        <v>3.2635783108062402</v>
      </c>
      <c r="H11" s="284">
        <v>3.7734107937760801</v>
      </c>
      <c r="I11" s="285">
        <v>23.2475769173316</v>
      </c>
    </row>
    <row r="12" spans="2:9">
      <c r="B12" s="279" t="s">
        <v>314</v>
      </c>
      <c r="C12" s="284">
        <v>4.4062912492359194</v>
      </c>
      <c r="D12" s="284">
        <v>5.3814779348534296</v>
      </c>
      <c r="E12" s="284">
        <v>4.5965821020243904</v>
      </c>
      <c r="F12" s="284">
        <v>5.3668048480005304</v>
      </c>
      <c r="G12" s="284">
        <v>3.9945409961572502</v>
      </c>
      <c r="H12" s="284">
        <v>2.96496506304887</v>
      </c>
      <c r="I12" s="285">
        <v>10.6493876137661</v>
      </c>
    </row>
    <row r="13" spans="2:9" ht="15.75" thickBot="1">
      <c r="B13" s="54" t="s">
        <v>324</v>
      </c>
      <c r="C13" s="290">
        <v>3.0007026369630303</v>
      </c>
      <c r="D13" s="290">
        <v>4.2842226293692098</v>
      </c>
      <c r="E13" s="290">
        <v>2.80220089010666</v>
      </c>
      <c r="F13" s="290">
        <v>4.7801573661860397</v>
      </c>
      <c r="G13" s="290">
        <v>2.6122914884331001</v>
      </c>
      <c r="H13" s="290">
        <v>1.4949274258565899</v>
      </c>
      <c r="I13" s="291">
        <v>19.240049486472799</v>
      </c>
    </row>
    <row r="14" spans="2:9">
      <c r="B14" s="38" t="s">
        <v>35</v>
      </c>
      <c r="C14" s="292"/>
      <c r="D14" s="292"/>
      <c r="E14" s="292"/>
      <c r="F14" s="292"/>
      <c r="G14" s="292"/>
      <c r="H14" s="292"/>
      <c r="I14" s="293"/>
    </row>
    <row r="15" spans="2:9">
      <c r="B15" s="279" t="s">
        <v>325</v>
      </c>
      <c r="C15" s="284">
        <v>7.8077790779746996</v>
      </c>
      <c r="D15" s="284">
        <v>7.9987721907367302</v>
      </c>
      <c r="E15" s="284">
        <v>6.6360648775624291</v>
      </c>
      <c r="F15" s="284">
        <v>9.3789957684504301</v>
      </c>
      <c r="G15" s="284">
        <v>9.2707691006271009</v>
      </c>
      <c r="H15" s="284">
        <v>3.8065066252421897</v>
      </c>
      <c r="I15" s="285">
        <v>33.675733420987804</v>
      </c>
    </row>
    <row r="16" spans="2:9">
      <c r="B16" s="279" t="s">
        <v>309</v>
      </c>
      <c r="C16" s="284">
        <v>8.4327949775438302</v>
      </c>
      <c r="D16" s="284">
        <v>7.1701177071442803</v>
      </c>
      <c r="E16" s="284">
        <v>12.8988648812437</v>
      </c>
      <c r="F16" s="284">
        <v>12.605175302436699</v>
      </c>
      <c r="G16" s="284">
        <v>6.5382871758090797</v>
      </c>
      <c r="H16" s="284">
        <v>5.5583263180972997</v>
      </c>
      <c r="I16" s="285">
        <v>0</v>
      </c>
    </row>
    <row r="17" spans="2:12">
      <c r="B17" s="279" t="s">
        <v>310</v>
      </c>
      <c r="C17" s="284">
        <v>5.06122191486629</v>
      </c>
      <c r="D17" s="284">
        <v>5.7715294959723007</v>
      </c>
      <c r="E17" s="284">
        <v>5.1400226382018097</v>
      </c>
      <c r="F17" s="284">
        <v>5.1992982060341397</v>
      </c>
      <c r="G17" s="284">
        <v>2.82521973747372</v>
      </c>
      <c r="H17" s="284">
        <v>3.6951009187691097</v>
      </c>
      <c r="I17" s="285">
        <v>20.965565083606101</v>
      </c>
    </row>
    <row r="18" spans="2:12">
      <c r="B18" s="279" t="s">
        <v>311</v>
      </c>
      <c r="C18" s="284">
        <v>2.5363397490250601</v>
      </c>
      <c r="D18" s="284">
        <v>1.94993421779792</v>
      </c>
      <c r="E18" s="284">
        <v>1.97876506468122</v>
      </c>
      <c r="F18" s="284">
        <v>1.7735480599591802</v>
      </c>
      <c r="G18" s="284">
        <v>1.2881651601612101</v>
      </c>
      <c r="H18" s="284">
        <v>1.43208064558402</v>
      </c>
      <c r="I18" s="285">
        <v>20.861705754320301</v>
      </c>
    </row>
    <row r="19" spans="2:12" ht="15.75" thickBot="1">
      <c r="B19" s="281" t="s">
        <v>312</v>
      </c>
      <c r="C19" s="286">
        <v>1.59421754634206</v>
      </c>
      <c r="D19" s="286">
        <v>0</v>
      </c>
      <c r="E19" s="286">
        <v>4.3925233644859798</v>
      </c>
      <c r="F19" s="286">
        <v>0</v>
      </c>
      <c r="G19" s="286">
        <v>0</v>
      </c>
      <c r="H19" s="286">
        <v>0</v>
      </c>
      <c r="I19" s="287">
        <v>46.240053793567199</v>
      </c>
    </row>
    <row r="20" spans="2:12">
      <c r="B20" s="251" t="s">
        <v>351</v>
      </c>
      <c r="C20" s="288"/>
      <c r="D20" s="288"/>
      <c r="E20" s="288"/>
      <c r="F20" s="288"/>
      <c r="G20" s="288"/>
      <c r="H20" s="288"/>
      <c r="I20" s="289"/>
    </row>
    <row r="21" spans="2:12">
      <c r="B21" s="279" t="s">
        <v>327</v>
      </c>
      <c r="C21" s="294">
        <v>5.6833098161826499</v>
      </c>
      <c r="D21" s="294">
        <v>5.8526945008295606</v>
      </c>
      <c r="E21" s="294">
        <v>7.2035318072528707</v>
      </c>
      <c r="F21" s="294">
        <v>7.9622657059612676</v>
      </c>
      <c r="G21" s="294">
        <v>4.83028961021623</v>
      </c>
      <c r="H21" s="294">
        <v>3.9720552143637198</v>
      </c>
      <c r="I21" s="295">
        <v>21.490593342981189</v>
      </c>
      <c r="L21" s="278"/>
    </row>
    <row r="22" spans="2:12">
      <c r="B22" s="279" t="s">
        <v>347</v>
      </c>
      <c r="C22" s="294">
        <v>4.7285008537161444</v>
      </c>
      <c r="D22" s="294">
        <v>6.3335966532705967</v>
      </c>
      <c r="E22" s="294">
        <v>4.0743403144036456</v>
      </c>
      <c r="F22" s="294">
        <v>5.8968849285916205</v>
      </c>
      <c r="G22" s="294">
        <v>3.2439774416331293</v>
      </c>
      <c r="H22" s="294">
        <v>1.8615381524522152</v>
      </c>
      <c r="I22" s="295">
        <v>23.823784341796436</v>
      </c>
    </row>
    <row r="23" spans="2:12" ht="15.75" thickBot="1">
      <c r="B23" s="281" t="s">
        <v>305</v>
      </c>
      <c r="C23" s="296">
        <v>8.0667249707934694</v>
      </c>
      <c r="D23" s="296">
        <v>7.260789516276521</v>
      </c>
      <c r="E23" s="296">
        <v>6.1360886831654522</v>
      </c>
      <c r="F23" s="296">
        <v>8.6660505096953671</v>
      </c>
      <c r="G23" s="296">
        <v>3.4631446316210459</v>
      </c>
      <c r="H23" s="296">
        <v>5.1849028974722131</v>
      </c>
      <c r="I23" s="297">
        <v>19.158834789366878</v>
      </c>
    </row>
    <row r="25" spans="2:12">
      <c r="B25" t="s">
        <v>373</v>
      </c>
    </row>
    <row r="26" spans="2:12">
      <c r="B26" t="s">
        <v>232</v>
      </c>
    </row>
  </sheetData>
  <mergeCells count="1">
    <mergeCell ref="D3:I3"/>
  </mergeCells>
  <pageMargins left="0.7" right="0.7" top="0.75" bottom="0.75" header="0.3" footer="0.3"/>
  <pageSetup scale="92" orientation="landscape"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2"/>
  <sheetViews>
    <sheetView zoomScale="125" zoomScaleNormal="125" zoomScalePageLayoutView="125" workbookViewId="0">
      <selection activeCell="A5" sqref="A5"/>
    </sheetView>
  </sheetViews>
  <sheetFormatPr defaultColWidth="8.85546875" defaultRowHeight="15"/>
  <cols>
    <col min="1" max="1" width="31.28515625" customWidth="1"/>
    <col min="2" max="2" width="17.5703125" bestFit="1" customWidth="1"/>
  </cols>
  <sheetData>
    <row r="1" spans="1:6">
      <c r="A1" s="2" t="s">
        <v>334</v>
      </c>
    </row>
    <row r="2" spans="1:6" ht="15.75" thickBot="1">
      <c r="A2" s="13" t="s">
        <v>368</v>
      </c>
    </row>
    <row r="3" spans="1:6" ht="15.75" thickBot="1">
      <c r="A3" s="252" t="s">
        <v>329</v>
      </c>
      <c r="B3" s="299" t="s">
        <v>367</v>
      </c>
      <c r="C3" s="253" t="s">
        <v>330</v>
      </c>
      <c r="D3" s="253" t="s">
        <v>331</v>
      </c>
      <c r="E3" s="253" t="s">
        <v>332</v>
      </c>
      <c r="F3" s="254" t="s">
        <v>333</v>
      </c>
    </row>
    <row r="4" spans="1:6">
      <c r="A4" s="255" t="s">
        <v>335</v>
      </c>
      <c r="B4" s="265" t="s">
        <v>51</v>
      </c>
      <c r="C4" s="235">
        <v>2586680.3685003854</v>
      </c>
      <c r="D4" s="235">
        <v>2722686.2464742637</v>
      </c>
      <c r="E4" s="235">
        <v>3031612.2721905606</v>
      </c>
      <c r="F4" s="258">
        <v>3672717.6114497809</v>
      </c>
    </row>
    <row r="5" spans="1:6">
      <c r="A5" s="256"/>
      <c r="B5" s="266" t="s">
        <v>52</v>
      </c>
      <c r="C5" s="233">
        <v>2195543.0424658009</v>
      </c>
      <c r="D5" s="233">
        <v>2050660.3928873444</v>
      </c>
      <c r="E5" s="233">
        <v>1968438.8729175541</v>
      </c>
      <c r="F5" s="259">
        <v>2008778.6018299423</v>
      </c>
    </row>
    <row r="6" spans="1:6" ht="15.75" thickBot="1">
      <c r="A6" s="257"/>
      <c r="B6" s="267" t="s">
        <v>352</v>
      </c>
      <c r="C6" s="234">
        <v>391137.32603458455</v>
      </c>
      <c r="D6" s="234">
        <v>672025.85358691937</v>
      </c>
      <c r="E6" s="234">
        <v>1063173.3992730065</v>
      </c>
      <c r="F6" s="260">
        <v>1663939.0096198386</v>
      </c>
    </row>
    <row r="7" spans="1:6">
      <c r="A7" s="270" t="s">
        <v>369</v>
      </c>
      <c r="B7" s="265" t="s">
        <v>51</v>
      </c>
      <c r="C7" s="235">
        <v>2291361.6767154098</v>
      </c>
      <c r="D7" s="235">
        <v>2395360.9237769246</v>
      </c>
      <c r="E7" s="235">
        <v>2706706.6597936107</v>
      </c>
      <c r="F7" s="258">
        <v>3283605.9880380821</v>
      </c>
    </row>
    <row r="8" spans="1:6">
      <c r="A8" s="271"/>
      <c r="B8" s="266" t="s">
        <v>52</v>
      </c>
      <c r="C8" s="233">
        <v>1877234.5246790447</v>
      </c>
      <c r="D8" s="233">
        <v>1837706.07940143</v>
      </c>
      <c r="E8" s="233">
        <v>1731040.237648481</v>
      </c>
      <c r="F8" s="259">
        <v>1850493.980871717</v>
      </c>
    </row>
    <row r="9" spans="1:6" ht="15.75" thickBot="1">
      <c r="A9" s="272"/>
      <c r="B9" s="267" t="s">
        <v>352</v>
      </c>
      <c r="C9" s="234">
        <v>414127.15203636512</v>
      </c>
      <c r="D9" s="234">
        <v>557654.84437549463</v>
      </c>
      <c r="E9" s="234">
        <v>975666.42214512965</v>
      </c>
      <c r="F9" s="260">
        <v>1433112.0071663652</v>
      </c>
    </row>
    <row r="10" spans="1:6">
      <c r="A10" s="273" t="s">
        <v>370</v>
      </c>
      <c r="B10" s="268" t="s">
        <v>51</v>
      </c>
      <c r="C10" s="261">
        <v>295318.69178497553</v>
      </c>
      <c r="D10" s="261">
        <v>327325.32269733929</v>
      </c>
      <c r="E10" s="261">
        <v>324905.61239695014</v>
      </c>
      <c r="F10" s="262">
        <v>389111.62341169862</v>
      </c>
    </row>
    <row r="11" spans="1:6">
      <c r="A11" s="271"/>
      <c r="B11" s="266" t="s">
        <v>52</v>
      </c>
      <c r="C11" s="233">
        <v>318308.51778675616</v>
      </c>
      <c r="D11" s="233">
        <v>212954.31348591446</v>
      </c>
      <c r="E11" s="233">
        <v>237398.63526907298</v>
      </c>
      <c r="F11" s="259">
        <v>158284.62095822545</v>
      </c>
    </row>
    <row r="12" spans="1:6" ht="15.75" customHeight="1" thickBot="1">
      <c r="A12" s="274"/>
      <c r="B12" s="269" t="s">
        <v>352</v>
      </c>
      <c r="C12" s="263">
        <v>-22989.826001780631</v>
      </c>
      <c r="D12" s="263">
        <v>114371.00921142483</v>
      </c>
      <c r="E12" s="263">
        <v>87506.977127877151</v>
      </c>
      <c r="F12" s="264">
        <v>230827.00245347316</v>
      </c>
    </row>
    <row r="13" spans="1:6">
      <c r="A13" s="255" t="s">
        <v>337</v>
      </c>
      <c r="B13" s="265" t="s">
        <v>51</v>
      </c>
      <c r="C13" s="235">
        <v>541486.3459665667</v>
      </c>
      <c r="D13" s="235">
        <v>679923.30070128117</v>
      </c>
      <c r="E13" s="235">
        <v>692284.40769537829</v>
      </c>
      <c r="F13" s="258">
        <v>690208.59510999965</v>
      </c>
    </row>
    <row r="14" spans="1:6">
      <c r="A14" s="256"/>
      <c r="B14" s="266" t="s">
        <v>52</v>
      </c>
      <c r="C14" s="233">
        <v>767348.02265183756</v>
      </c>
      <c r="D14" s="233">
        <v>759869.3682390363</v>
      </c>
      <c r="E14" s="233">
        <v>591935.92057624401</v>
      </c>
      <c r="F14" s="259">
        <v>479763.83342501236</v>
      </c>
    </row>
    <row r="15" spans="1:6" ht="15.75" thickBot="1">
      <c r="A15" s="257"/>
      <c r="B15" s="267" t="s">
        <v>352</v>
      </c>
      <c r="C15" s="234">
        <v>-225861.67668527085</v>
      </c>
      <c r="D15" s="234">
        <v>-79946.067537755123</v>
      </c>
      <c r="E15" s="234">
        <v>100348.48711913428</v>
      </c>
      <c r="F15" s="260">
        <v>210444.76168498729</v>
      </c>
    </row>
    <row r="16" spans="1:6">
      <c r="A16" s="270" t="s">
        <v>371</v>
      </c>
      <c r="B16" s="265" t="s">
        <v>51</v>
      </c>
      <c r="C16" s="235">
        <v>272231.13547235989</v>
      </c>
      <c r="D16" s="235">
        <v>312373.12515696714</v>
      </c>
      <c r="E16" s="235">
        <v>270711.8684269634</v>
      </c>
      <c r="F16" s="258">
        <v>288025.94222630898</v>
      </c>
    </row>
    <row r="17" spans="1:6">
      <c r="A17" s="256"/>
      <c r="B17" s="266" t="s">
        <v>52</v>
      </c>
      <c r="C17" s="233">
        <v>356486.35610020132</v>
      </c>
      <c r="D17" s="233">
        <v>304388.29152226384</v>
      </c>
      <c r="E17" s="233">
        <v>269261.18675553839</v>
      </c>
      <c r="F17" s="259">
        <v>233302.82778965417</v>
      </c>
    </row>
    <row r="18" spans="1:6" ht="15.75" thickBot="1">
      <c r="A18" s="257"/>
      <c r="B18" s="267" t="s">
        <v>352</v>
      </c>
      <c r="C18" s="234">
        <v>-84255.220627841423</v>
      </c>
      <c r="D18" s="234">
        <v>7984.8336347033037</v>
      </c>
      <c r="E18" s="234">
        <v>1450.6816714250017</v>
      </c>
      <c r="F18" s="260">
        <v>54723.114436654811</v>
      </c>
    </row>
    <row r="19" spans="1:6">
      <c r="A19" s="273" t="s">
        <v>372</v>
      </c>
      <c r="B19" s="268" t="s">
        <v>51</v>
      </c>
      <c r="C19" s="261">
        <v>270336.14313763683</v>
      </c>
      <c r="D19" s="261">
        <v>368310.66158709425</v>
      </c>
      <c r="E19" s="261">
        <v>421163.41017293563</v>
      </c>
      <c r="F19" s="262">
        <v>402598.9494173589</v>
      </c>
    </row>
    <row r="20" spans="1:6">
      <c r="A20" s="256"/>
      <c r="B20" s="266" t="s">
        <v>52</v>
      </c>
      <c r="C20" s="233">
        <v>410020.30574777792</v>
      </c>
      <c r="D20" s="233">
        <v>455505.75863128016</v>
      </c>
      <c r="E20" s="233">
        <v>322410.28714666981</v>
      </c>
      <c r="F20" s="259">
        <v>247873.93520870595</v>
      </c>
    </row>
    <row r="21" spans="1:6" ht="15.75" thickBot="1">
      <c r="A21" s="257"/>
      <c r="B21" s="267" t="s">
        <v>352</v>
      </c>
      <c r="C21" s="234">
        <v>-139684.16261014109</v>
      </c>
      <c r="D21" s="234">
        <v>-87195.09704418591</v>
      </c>
      <c r="E21" s="234">
        <v>98753.123026265821</v>
      </c>
      <c r="F21" s="260">
        <v>154725.01420865295</v>
      </c>
    </row>
    <row r="22" spans="1:6">
      <c r="A22" t="s">
        <v>328</v>
      </c>
    </row>
  </sheetData>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Q58"/>
  <sheetViews>
    <sheetView topLeftCell="A28" zoomScaleNormal="100" zoomScalePageLayoutView="125" workbookViewId="0">
      <selection activeCell="C34" sqref="C34"/>
    </sheetView>
  </sheetViews>
  <sheetFormatPr defaultColWidth="8.85546875" defaultRowHeight="15"/>
  <cols>
    <col min="2" max="2" width="23.28515625" bestFit="1" customWidth="1"/>
    <col min="3" max="6" width="9.7109375" style="23" customWidth="1"/>
    <col min="7" max="14" width="10.7109375" customWidth="1"/>
    <col min="15" max="15" width="3.42578125" customWidth="1"/>
    <col min="16" max="16" width="8.42578125" customWidth="1"/>
  </cols>
  <sheetData>
    <row r="1" spans="1:17">
      <c r="A1" s="22" t="s">
        <v>338</v>
      </c>
    </row>
    <row r="3" spans="1:17">
      <c r="A3" s="24" t="s">
        <v>53</v>
      </c>
    </row>
    <row r="5" spans="1:17">
      <c r="A5" s="13"/>
      <c r="B5" s="166"/>
      <c r="C5" s="330">
        <v>2001</v>
      </c>
      <c r="D5" s="330"/>
      <c r="E5" s="330"/>
      <c r="F5" s="330"/>
      <c r="G5" s="331">
        <v>2007</v>
      </c>
      <c r="H5" s="331"/>
      <c r="I5" s="331"/>
      <c r="J5" s="331"/>
      <c r="K5" s="331">
        <v>2011</v>
      </c>
      <c r="L5" s="331"/>
      <c r="M5" s="331"/>
      <c r="N5" s="331"/>
      <c r="O5" s="25"/>
    </row>
    <row r="6" spans="1:17" ht="25.5">
      <c r="A6" s="167" t="s">
        <v>54</v>
      </c>
      <c r="B6" s="168"/>
      <c r="C6" s="169" t="s">
        <v>55</v>
      </c>
      <c r="D6" s="169" t="s">
        <v>56</v>
      </c>
      <c r="E6" s="169" t="s">
        <v>57</v>
      </c>
      <c r="F6" s="169" t="s">
        <v>7</v>
      </c>
      <c r="G6" s="169" t="s">
        <v>55</v>
      </c>
      <c r="H6" s="169" t="s">
        <v>56</v>
      </c>
      <c r="I6" s="169" t="s">
        <v>57</v>
      </c>
      <c r="J6" s="169" t="s">
        <v>7</v>
      </c>
      <c r="K6" s="169" t="s">
        <v>55</v>
      </c>
      <c r="L6" s="169" t="s">
        <v>56</v>
      </c>
      <c r="M6" s="169" t="s">
        <v>57</v>
      </c>
      <c r="N6" s="169" t="s">
        <v>7</v>
      </c>
      <c r="O6" s="27"/>
      <c r="P6" s="28"/>
      <c r="Q6" s="28"/>
    </row>
    <row r="7" spans="1:17">
      <c r="A7" s="13"/>
      <c r="B7" s="166"/>
      <c r="C7" s="166"/>
      <c r="D7" s="166"/>
      <c r="E7" s="166"/>
      <c r="F7" s="170"/>
      <c r="G7" s="166"/>
      <c r="H7" s="166"/>
      <c r="I7" s="166"/>
      <c r="J7" s="166"/>
      <c r="K7" s="171"/>
      <c r="L7" s="171"/>
      <c r="M7" s="171"/>
      <c r="N7" s="171"/>
      <c r="O7" s="29"/>
      <c r="Q7" s="23"/>
    </row>
    <row r="8" spans="1:17">
      <c r="A8" s="172" t="s">
        <v>58</v>
      </c>
      <c r="B8" s="166"/>
      <c r="C8" s="173">
        <v>21657771</v>
      </c>
      <c r="D8" s="173">
        <v>7335007</v>
      </c>
      <c r="E8" s="173">
        <v>7456848</v>
      </c>
      <c r="F8" s="174">
        <v>36449626</v>
      </c>
      <c r="G8" s="175">
        <v>19813101</v>
      </c>
      <c r="H8" s="173">
        <v>8173681</v>
      </c>
      <c r="I8" s="173">
        <v>8879624</v>
      </c>
      <c r="J8" s="173">
        <v>36866406</v>
      </c>
      <c r="K8" s="175">
        <v>20005783</v>
      </c>
      <c r="L8" s="174">
        <v>9267266</v>
      </c>
      <c r="M8" s="174">
        <v>11342359</v>
      </c>
      <c r="N8" s="174">
        <v>40615408</v>
      </c>
      <c r="O8" s="31"/>
      <c r="P8" s="23"/>
    </row>
    <row r="9" spans="1:17">
      <c r="A9" s="13"/>
      <c r="B9" s="166"/>
      <c r="C9" s="174"/>
      <c r="D9" s="174"/>
      <c r="E9" s="174"/>
      <c r="F9" s="174"/>
      <c r="G9" s="175"/>
      <c r="H9" s="173"/>
      <c r="I9" s="173"/>
      <c r="J9" s="173"/>
      <c r="K9" s="175"/>
      <c r="L9" s="174"/>
      <c r="M9" s="174"/>
      <c r="N9" s="174"/>
      <c r="O9" s="31"/>
    </row>
    <row r="10" spans="1:17">
      <c r="A10" s="172" t="s">
        <v>59</v>
      </c>
      <c r="B10" s="166"/>
      <c r="C10" s="174"/>
      <c r="D10" s="174"/>
      <c r="E10" s="174"/>
      <c r="F10" s="174"/>
      <c r="G10" s="175"/>
      <c r="H10" s="173"/>
      <c r="I10" s="173"/>
      <c r="J10" s="173"/>
      <c r="K10" s="175"/>
      <c r="L10" s="174"/>
      <c r="M10" s="174"/>
      <c r="N10" s="174"/>
      <c r="O10" s="31"/>
    </row>
    <row r="11" spans="1:17">
      <c r="A11" s="13"/>
      <c r="B11" s="166" t="s">
        <v>60</v>
      </c>
      <c r="C11" s="176">
        <v>1542764</v>
      </c>
      <c r="D11" s="176">
        <v>1009081</v>
      </c>
      <c r="E11" s="176">
        <v>5055772</v>
      </c>
      <c r="F11" s="176">
        <v>7607617</v>
      </c>
      <c r="G11" s="177">
        <v>1614184</v>
      </c>
      <c r="H11" s="176">
        <v>1122156</v>
      </c>
      <c r="I11" s="176">
        <v>5686193</v>
      </c>
      <c r="J11" s="176">
        <v>8422533</v>
      </c>
      <c r="K11" s="177">
        <v>1706328</v>
      </c>
      <c r="L11" s="176">
        <v>1222638</v>
      </c>
      <c r="M11" s="176">
        <v>7292977</v>
      </c>
      <c r="N11" s="176">
        <v>10221943</v>
      </c>
      <c r="O11" s="31"/>
      <c r="P11" s="35"/>
    </row>
    <row r="12" spans="1:17">
      <c r="A12" s="13"/>
      <c r="B12" s="166" t="s">
        <v>339</v>
      </c>
      <c r="C12" s="176">
        <v>2588649</v>
      </c>
      <c r="D12" s="176">
        <v>3410580</v>
      </c>
      <c r="E12" s="176">
        <v>2016168</v>
      </c>
      <c r="F12" s="176">
        <v>8015397</v>
      </c>
      <c r="G12" s="177">
        <v>2450636</v>
      </c>
      <c r="H12" s="176">
        <v>3545908</v>
      </c>
      <c r="I12" s="176">
        <v>2566896</v>
      </c>
      <c r="J12" s="176">
        <v>8563440</v>
      </c>
      <c r="K12" s="177">
        <v>2410330</v>
      </c>
      <c r="L12" s="176">
        <v>3960559</v>
      </c>
      <c r="M12" s="176">
        <v>3270060</v>
      </c>
      <c r="N12" s="176">
        <v>9640949</v>
      </c>
      <c r="O12" s="31"/>
      <c r="P12" s="35"/>
    </row>
    <row r="13" spans="1:17">
      <c r="A13" s="13"/>
      <c r="B13" s="166" t="s">
        <v>340</v>
      </c>
      <c r="C13" s="176">
        <v>4674057</v>
      </c>
      <c r="D13" s="176">
        <v>1997328</v>
      </c>
      <c r="E13" s="176">
        <v>294937</v>
      </c>
      <c r="F13" s="176">
        <v>6966322</v>
      </c>
      <c r="G13" s="177">
        <v>4072225</v>
      </c>
      <c r="H13" s="176">
        <v>2212200</v>
      </c>
      <c r="I13" s="176">
        <v>486190</v>
      </c>
      <c r="J13" s="176">
        <v>6770615</v>
      </c>
      <c r="K13" s="177">
        <v>4002404</v>
      </c>
      <c r="L13" s="176">
        <v>2488891</v>
      </c>
      <c r="M13" s="176">
        <v>611290</v>
      </c>
      <c r="N13" s="176">
        <v>7102585</v>
      </c>
      <c r="O13" s="31"/>
      <c r="P13" s="35"/>
    </row>
    <row r="14" spans="1:17">
      <c r="A14" s="13"/>
      <c r="B14" s="166" t="s">
        <v>341</v>
      </c>
      <c r="C14" s="176">
        <v>7070401</v>
      </c>
      <c r="D14" s="176">
        <v>757965</v>
      </c>
      <c r="E14" s="176">
        <v>80720</v>
      </c>
      <c r="F14" s="176">
        <v>7909086</v>
      </c>
      <c r="G14" s="177">
        <v>6310736</v>
      </c>
      <c r="H14" s="176">
        <v>1072303</v>
      </c>
      <c r="I14" s="176">
        <v>129091</v>
      </c>
      <c r="J14" s="176">
        <v>7512130</v>
      </c>
      <c r="K14" s="177">
        <v>6295695</v>
      </c>
      <c r="L14" s="176">
        <v>1331064</v>
      </c>
      <c r="M14" s="176">
        <v>158141</v>
      </c>
      <c r="N14" s="176">
        <v>7784900</v>
      </c>
      <c r="O14" s="31"/>
      <c r="P14" s="35"/>
    </row>
    <row r="15" spans="1:17">
      <c r="A15" s="13"/>
      <c r="B15" s="166" t="s">
        <v>61</v>
      </c>
      <c r="C15" s="176">
        <v>5781900</v>
      </c>
      <c r="D15" s="176">
        <v>160053</v>
      </c>
      <c r="E15" s="176">
        <v>9251</v>
      </c>
      <c r="F15" s="176">
        <v>5951204</v>
      </c>
      <c r="G15" s="177">
        <v>5365320</v>
      </c>
      <c r="H15" s="176">
        <v>221114</v>
      </c>
      <c r="I15" s="176">
        <v>11254</v>
      </c>
      <c r="J15" s="176">
        <v>5597688</v>
      </c>
      <c r="K15" s="177">
        <v>5591026</v>
      </c>
      <c r="L15" s="176">
        <v>264114</v>
      </c>
      <c r="M15" s="176">
        <v>9891</v>
      </c>
      <c r="N15" s="176">
        <v>5865031</v>
      </c>
      <c r="O15" s="31"/>
      <c r="P15" s="35"/>
    </row>
    <row r="16" spans="1:17">
      <c r="A16" s="13"/>
      <c r="B16" s="166"/>
      <c r="C16" s="174"/>
      <c r="D16" s="174"/>
      <c r="E16" s="174"/>
      <c r="F16" s="174"/>
      <c r="G16" s="175"/>
      <c r="H16" s="173"/>
      <c r="I16" s="173"/>
      <c r="J16" s="173"/>
      <c r="K16" s="175"/>
      <c r="L16" s="174"/>
      <c r="M16" s="174"/>
      <c r="N16" s="174"/>
      <c r="O16" s="31"/>
    </row>
    <row r="17" spans="1:16">
      <c r="A17" s="172" t="s">
        <v>11</v>
      </c>
      <c r="B17" s="166"/>
      <c r="C17" s="174"/>
      <c r="D17" s="174"/>
      <c r="E17" s="174"/>
      <c r="F17" s="174"/>
      <c r="G17" s="175"/>
      <c r="H17" s="173"/>
      <c r="I17" s="173"/>
      <c r="J17" s="173"/>
      <c r="K17" s="175"/>
      <c r="L17" s="174"/>
      <c r="M17" s="174"/>
      <c r="N17" s="174"/>
      <c r="O17" s="31"/>
      <c r="P17" s="35"/>
    </row>
    <row r="18" spans="1:16">
      <c r="A18" s="13"/>
      <c r="B18" s="166" t="s">
        <v>62</v>
      </c>
      <c r="C18" s="173">
        <v>2431744</v>
      </c>
      <c r="D18" s="173">
        <v>1085932</v>
      </c>
      <c r="E18" s="173">
        <v>1475417</v>
      </c>
      <c r="F18" s="174">
        <v>4993093</v>
      </c>
      <c r="G18" s="175">
        <v>1861078</v>
      </c>
      <c r="H18" s="173">
        <v>986144</v>
      </c>
      <c r="I18" s="173">
        <v>1487364</v>
      </c>
      <c r="J18" s="173">
        <v>4334586</v>
      </c>
      <c r="K18" s="175">
        <v>1456975</v>
      </c>
      <c r="L18" s="174">
        <v>926707</v>
      </c>
      <c r="M18" s="174">
        <v>1671974</v>
      </c>
      <c r="N18" s="174">
        <v>4055656</v>
      </c>
      <c r="O18" s="31"/>
    </row>
    <row r="19" spans="1:16">
      <c r="A19" s="13"/>
      <c r="B19" s="166" t="s">
        <v>342</v>
      </c>
      <c r="C19" s="173">
        <v>11699773</v>
      </c>
      <c r="D19" s="173">
        <v>3512082</v>
      </c>
      <c r="E19" s="173">
        <v>3078138</v>
      </c>
      <c r="F19" s="174">
        <v>18289993</v>
      </c>
      <c r="G19" s="175">
        <v>9926229</v>
      </c>
      <c r="H19" s="173">
        <v>3876208</v>
      </c>
      <c r="I19" s="173">
        <v>3692216</v>
      </c>
      <c r="J19" s="173">
        <v>17494653</v>
      </c>
      <c r="K19" s="175">
        <v>9941698</v>
      </c>
      <c r="L19" s="174">
        <v>4346755</v>
      </c>
      <c r="M19" s="174">
        <v>4756154</v>
      </c>
      <c r="N19" s="174">
        <v>19044607</v>
      </c>
      <c r="O19" s="31"/>
      <c r="P19" s="12"/>
    </row>
    <row r="20" spans="1:16">
      <c r="A20" s="13"/>
      <c r="B20" s="166" t="s">
        <v>343</v>
      </c>
      <c r="C20" s="173">
        <v>5198095</v>
      </c>
      <c r="D20" s="173">
        <v>1620057</v>
      </c>
      <c r="E20" s="173">
        <v>1602811</v>
      </c>
      <c r="F20" s="174">
        <v>8420963</v>
      </c>
      <c r="G20" s="175">
        <v>5727159</v>
      </c>
      <c r="H20" s="173">
        <v>2125270</v>
      </c>
      <c r="I20" s="173">
        <v>2299851</v>
      </c>
      <c r="J20" s="173">
        <v>10152280</v>
      </c>
      <c r="K20" s="175">
        <v>6150302</v>
      </c>
      <c r="L20" s="174">
        <v>2646123</v>
      </c>
      <c r="M20" s="174">
        <v>3255345</v>
      </c>
      <c r="N20" s="174">
        <v>12051770</v>
      </c>
      <c r="O20" s="31"/>
    </row>
    <row r="21" spans="1:16">
      <c r="A21" s="13"/>
      <c r="B21" s="166" t="s">
        <v>63</v>
      </c>
      <c r="C21" s="173">
        <v>2328159</v>
      </c>
      <c r="D21" s="173">
        <v>1116936</v>
      </c>
      <c r="E21" s="173">
        <v>1300482</v>
      </c>
      <c r="F21" s="174">
        <v>4745577</v>
      </c>
      <c r="G21" s="175">
        <v>2298635</v>
      </c>
      <c r="H21" s="173">
        <v>1186059</v>
      </c>
      <c r="I21" s="173">
        <v>1400193</v>
      </c>
      <c r="J21" s="173">
        <v>4884887</v>
      </c>
      <c r="K21" s="175">
        <v>2456808</v>
      </c>
      <c r="L21" s="174">
        <v>1347681</v>
      </c>
      <c r="M21" s="174">
        <v>1658886</v>
      </c>
      <c r="N21" s="174">
        <v>5463375</v>
      </c>
      <c r="O21" s="31"/>
    </row>
    <row r="22" spans="1:16">
      <c r="A22" s="13"/>
      <c r="B22" s="166"/>
      <c r="C22" s="174"/>
      <c r="D22" s="174"/>
      <c r="E22" s="174"/>
      <c r="F22" s="174"/>
      <c r="G22" s="175"/>
      <c r="H22" s="173"/>
      <c r="I22" s="173"/>
      <c r="J22" s="173"/>
      <c r="K22" s="175"/>
      <c r="L22" s="174"/>
      <c r="M22" s="174"/>
      <c r="N22" s="174"/>
      <c r="O22" s="31"/>
    </row>
    <row r="23" spans="1:16">
      <c r="A23" s="172" t="s">
        <v>20</v>
      </c>
      <c r="B23" s="166"/>
      <c r="C23" s="174"/>
      <c r="D23" s="174"/>
      <c r="E23" s="174"/>
      <c r="F23" s="174"/>
      <c r="G23" s="175"/>
      <c r="H23" s="173"/>
      <c r="I23" s="173"/>
      <c r="J23" s="173"/>
      <c r="K23" s="175"/>
      <c r="L23" s="174"/>
      <c r="M23" s="174"/>
      <c r="N23" s="174"/>
      <c r="O23" s="31"/>
    </row>
    <row r="24" spans="1:16">
      <c r="A24" s="13"/>
      <c r="B24" s="166" t="s">
        <v>64</v>
      </c>
      <c r="C24" s="173">
        <v>3498977</v>
      </c>
      <c r="D24" s="173">
        <v>680085</v>
      </c>
      <c r="E24" s="173">
        <v>451222</v>
      </c>
      <c r="F24" s="174">
        <v>4630284</v>
      </c>
      <c r="G24" s="175">
        <v>3094796</v>
      </c>
      <c r="H24" s="173">
        <v>776235</v>
      </c>
      <c r="I24" s="173">
        <v>521476</v>
      </c>
      <c r="J24" s="173">
        <v>4392507</v>
      </c>
      <c r="K24" s="175">
        <v>3299904</v>
      </c>
      <c r="L24" s="173">
        <v>935399</v>
      </c>
      <c r="M24" s="173">
        <v>695947</v>
      </c>
      <c r="N24" s="173">
        <v>4931250</v>
      </c>
      <c r="O24" s="31"/>
    </row>
    <row r="25" spans="1:16">
      <c r="A25" s="13"/>
      <c r="B25" s="166" t="s">
        <v>65</v>
      </c>
      <c r="C25" s="173">
        <v>3835020</v>
      </c>
      <c r="D25" s="173">
        <v>1037064</v>
      </c>
      <c r="E25" s="173">
        <v>606055</v>
      </c>
      <c r="F25" s="174">
        <v>5478139</v>
      </c>
      <c r="G25" s="175">
        <v>3143502</v>
      </c>
      <c r="H25" s="173">
        <v>1202047</v>
      </c>
      <c r="I25" s="173">
        <v>791105</v>
      </c>
      <c r="J25" s="173">
        <v>5136654</v>
      </c>
      <c r="K25" s="175">
        <v>3244476</v>
      </c>
      <c r="L25" s="173">
        <v>1389709</v>
      </c>
      <c r="M25" s="173">
        <v>1110218</v>
      </c>
      <c r="N25" s="173">
        <v>5744403</v>
      </c>
      <c r="O25" s="31"/>
    </row>
    <row r="26" spans="1:16">
      <c r="A26" s="13"/>
      <c r="B26" s="166" t="s">
        <v>23</v>
      </c>
      <c r="C26" s="173">
        <v>2732865</v>
      </c>
      <c r="D26" s="173">
        <v>1552720</v>
      </c>
      <c r="E26" s="173">
        <v>1850722</v>
      </c>
      <c r="F26" s="174">
        <v>6136307</v>
      </c>
      <c r="G26" s="175">
        <v>2522704</v>
      </c>
      <c r="H26" s="173">
        <v>1698607</v>
      </c>
      <c r="I26" s="173">
        <v>2288830</v>
      </c>
      <c r="J26" s="173">
        <v>6510141</v>
      </c>
      <c r="K26" s="175">
        <v>2505123</v>
      </c>
      <c r="L26" s="173">
        <v>1858494</v>
      </c>
      <c r="M26" s="173">
        <v>2829265</v>
      </c>
      <c r="N26" s="173">
        <v>7192882</v>
      </c>
      <c r="O26" s="31"/>
    </row>
    <row r="27" spans="1:16">
      <c r="A27" s="13"/>
      <c r="B27" s="166" t="s">
        <v>24</v>
      </c>
      <c r="C27" s="173">
        <v>1778265</v>
      </c>
      <c r="D27" s="173">
        <v>545817</v>
      </c>
      <c r="E27" s="173">
        <v>454856</v>
      </c>
      <c r="F27" s="174">
        <v>2778938</v>
      </c>
      <c r="G27" s="175">
        <v>1724282</v>
      </c>
      <c r="H27" s="173">
        <v>622521</v>
      </c>
      <c r="I27" s="173">
        <v>607319</v>
      </c>
      <c r="J27" s="173">
        <v>2954122</v>
      </c>
      <c r="K27" s="175">
        <v>1800160</v>
      </c>
      <c r="L27" s="173">
        <v>831206</v>
      </c>
      <c r="M27" s="173">
        <v>906722</v>
      </c>
      <c r="N27" s="173">
        <v>3538088</v>
      </c>
      <c r="O27" s="31"/>
    </row>
    <row r="28" spans="1:16">
      <c r="A28" s="13"/>
      <c r="B28" s="166" t="s">
        <v>25</v>
      </c>
      <c r="C28" s="173">
        <v>7213473</v>
      </c>
      <c r="D28" s="173">
        <v>2926999</v>
      </c>
      <c r="E28" s="173">
        <v>3510759</v>
      </c>
      <c r="F28" s="174">
        <v>13651231</v>
      </c>
      <c r="G28" s="175">
        <v>6896587</v>
      </c>
      <c r="H28" s="173">
        <v>3209582</v>
      </c>
      <c r="I28" s="173">
        <v>3986057</v>
      </c>
      <c r="J28" s="173">
        <v>14092226</v>
      </c>
      <c r="K28" s="175">
        <v>6771632</v>
      </c>
      <c r="L28" s="173">
        <v>3440538</v>
      </c>
      <c r="M28" s="173">
        <v>4859089</v>
      </c>
      <c r="N28" s="173">
        <v>15071259</v>
      </c>
      <c r="O28" s="31"/>
    </row>
    <row r="29" spans="1:16">
      <c r="A29" s="13"/>
      <c r="B29" s="166" t="s">
        <v>66</v>
      </c>
      <c r="C29" s="173">
        <v>2599171</v>
      </c>
      <c r="D29" s="173">
        <v>592322</v>
      </c>
      <c r="E29" s="173">
        <v>583234</v>
      </c>
      <c r="F29" s="174">
        <v>3774727</v>
      </c>
      <c r="G29" s="175">
        <v>2431230</v>
      </c>
      <c r="H29" s="173">
        <v>664689</v>
      </c>
      <c r="I29" s="173">
        <v>684837</v>
      </c>
      <c r="J29" s="173">
        <v>3780756</v>
      </c>
      <c r="K29" s="175">
        <v>2384488</v>
      </c>
      <c r="L29" s="173">
        <v>811920</v>
      </c>
      <c r="M29" s="173">
        <v>941118</v>
      </c>
      <c r="N29" s="173">
        <v>4137526</v>
      </c>
      <c r="O29" s="31"/>
    </row>
    <row r="30" spans="1:16">
      <c r="A30" s="13"/>
      <c r="B30" s="166"/>
      <c r="C30" s="174"/>
      <c r="D30" s="174"/>
      <c r="E30" s="174"/>
      <c r="F30" s="174"/>
      <c r="G30" s="175"/>
      <c r="H30" s="173"/>
      <c r="I30" s="173"/>
      <c r="J30" s="173"/>
      <c r="K30" s="175"/>
      <c r="L30" s="174"/>
      <c r="M30" s="174"/>
      <c r="N30" s="174"/>
      <c r="O30" s="31"/>
    </row>
    <row r="31" spans="1:16">
      <c r="A31" s="172" t="s">
        <v>67</v>
      </c>
      <c r="B31" s="166"/>
      <c r="C31" s="174"/>
      <c r="D31" s="174"/>
      <c r="E31" s="174"/>
      <c r="F31" s="174"/>
      <c r="G31" s="175"/>
      <c r="H31" s="173"/>
      <c r="I31" s="173"/>
      <c r="J31" s="173"/>
      <c r="K31" s="175"/>
      <c r="L31" s="174"/>
      <c r="M31" s="174"/>
      <c r="N31" s="174"/>
      <c r="O31" s="31"/>
    </row>
    <row r="32" spans="1:16">
      <c r="A32" s="13"/>
      <c r="B32" s="166" t="s">
        <v>68</v>
      </c>
      <c r="C32" s="173">
        <v>13753619</v>
      </c>
      <c r="D32" s="173">
        <v>4118032</v>
      </c>
      <c r="E32" s="173">
        <v>3924492</v>
      </c>
      <c r="F32" s="174">
        <v>21796143</v>
      </c>
      <c r="G32" s="175">
        <v>12300863</v>
      </c>
      <c r="H32" s="173">
        <v>4343916</v>
      </c>
      <c r="I32" s="173">
        <v>4464637</v>
      </c>
      <c r="J32" s="173">
        <v>21109416</v>
      </c>
      <c r="K32" s="175">
        <v>12161470</v>
      </c>
      <c r="L32" s="174">
        <v>4832326</v>
      </c>
      <c r="M32" s="174">
        <v>5533922</v>
      </c>
      <c r="N32" s="174">
        <v>22527718</v>
      </c>
      <c r="O32" s="31"/>
    </row>
    <row r="33" spans="1:16">
      <c r="A33" s="13"/>
      <c r="B33" s="166" t="s">
        <v>69</v>
      </c>
      <c r="C33" s="173">
        <v>3432931</v>
      </c>
      <c r="D33" s="173">
        <v>1435636</v>
      </c>
      <c r="E33" s="173">
        <v>1704976</v>
      </c>
      <c r="F33" s="174">
        <v>6573543</v>
      </c>
      <c r="G33" s="175">
        <v>3168564</v>
      </c>
      <c r="H33" s="173">
        <v>1661073</v>
      </c>
      <c r="I33" s="173">
        <v>2130855</v>
      </c>
      <c r="J33" s="173">
        <v>6960492</v>
      </c>
      <c r="K33" s="175">
        <v>3128844</v>
      </c>
      <c r="L33" s="174">
        <v>1855325</v>
      </c>
      <c r="M33" s="174">
        <v>2665350</v>
      </c>
      <c r="N33" s="174">
        <v>7649519</v>
      </c>
      <c r="O33" s="31"/>
    </row>
    <row r="34" spans="1:16">
      <c r="A34" s="13"/>
      <c r="B34" s="166" t="s">
        <v>14</v>
      </c>
      <c r="C34" s="173">
        <v>2955847</v>
      </c>
      <c r="D34" s="173">
        <v>1290805</v>
      </c>
      <c r="E34" s="173">
        <v>1225781</v>
      </c>
      <c r="F34" s="174">
        <v>5472433</v>
      </c>
      <c r="G34" s="175">
        <v>2919436</v>
      </c>
      <c r="H34" s="173">
        <v>1606129</v>
      </c>
      <c r="I34" s="173">
        <v>1640127</v>
      </c>
      <c r="J34" s="173">
        <v>6165692</v>
      </c>
      <c r="K34" s="175">
        <v>3112025</v>
      </c>
      <c r="L34" s="174">
        <v>1928031</v>
      </c>
      <c r="M34" s="174">
        <v>2276946</v>
      </c>
      <c r="N34" s="174">
        <v>7317002</v>
      </c>
      <c r="O34" s="31"/>
    </row>
    <row r="35" spans="1:16">
      <c r="A35" s="13"/>
      <c r="B35" s="166" t="s">
        <v>70</v>
      </c>
      <c r="C35" s="173">
        <v>1515374</v>
      </c>
      <c r="D35" s="173">
        <v>490534</v>
      </c>
      <c r="E35" s="173">
        <v>601599</v>
      </c>
      <c r="F35" s="174">
        <v>2607507</v>
      </c>
      <c r="G35" s="175">
        <v>1424238</v>
      </c>
      <c r="H35" s="173">
        <v>562563</v>
      </c>
      <c r="I35" s="173">
        <v>644005</v>
      </c>
      <c r="J35" s="173">
        <v>2630806</v>
      </c>
      <c r="K35" s="175">
        <v>1603444</v>
      </c>
      <c r="L35" s="174">
        <v>651584</v>
      </c>
      <c r="M35" s="174">
        <v>866141</v>
      </c>
      <c r="N35" s="174">
        <v>3121169</v>
      </c>
      <c r="O35" s="31"/>
    </row>
    <row r="36" spans="1:16">
      <c r="A36" s="13"/>
      <c r="B36" s="166"/>
      <c r="C36" s="174"/>
      <c r="D36" s="174"/>
      <c r="E36" s="174"/>
      <c r="F36" s="174"/>
      <c r="G36" s="175"/>
      <c r="H36" s="173"/>
      <c r="I36" s="173"/>
      <c r="J36" s="173"/>
      <c r="K36" s="175"/>
      <c r="L36" s="174"/>
      <c r="M36" s="174"/>
      <c r="N36" s="174"/>
      <c r="O36" s="31"/>
    </row>
    <row r="37" spans="1:16">
      <c r="A37" s="172" t="s">
        <v>16</v>
      </c>
      <c r="B37" s="166"/>
      <c r="C37" s="174"/>
      <c r="D37" s="174"/>
      <c r="E37" s="174"/>
      <c r="F37" s="174"/>
      <c r="G37" s="175"/>
      <c r="H37" s="173"/>
      <c r="I37" s="173"/>
      <c r="J37" s="173"/>
      <c r="K37" s="175"/>
      <c r="L37" s="174"/>
      <c r="M37" s="174"/>
      <c r="N37" s="174"/>
      <c r="O37" s="31"/>
    </row>
    <row r="38" spans="1:16">
      <c r="A38" s="13"/>
      <c r="B38" s="166" t="s">
        <v>71</v>
      </c>
      <c r="C38" s="173">
        <v>3966994</v>
      </c>
      <c r="D38" s="173">
        <v>1905600</v>
      </c>
      <c r="E38" s="173">
        <v>2307433</v>
      </c>
      <c r="F38" s="174">
        <v>8180027</v>
      </c>
      <c r="G38" s="175">
        <v>3053141</v>
      </c>
      <c r="H38" s="173">
        <v>1729914</v>
      </c>
      <c r="I38" s="173">
        <v>2280975</v>
      </c>
      <c r="J38" s="173">
        <v>7064030</v>
      </c>
      <c r="K38" s="175">
        <v>2680313</v>
      </c>
      <c r="L38" s="174">
        <v>1742260</v>
      </c>
      <c r="M38" s="174">
        <v>2574239</v>
      </c>
      <c r="N38" s="174">
        <v>6996812</v>
      </c>
      <c r="O38" s="31"/>
    </row>
    <row r="39" spans="1:16">
      <c r="A39" s="13"/>
      <c r="B39" s="166" t="s">
        <v>18</v>
      </c>
      <c r="C39" s="173">
        <v>5883327</v>
      </c>
      <c r="D39" s="173">
        <v>2118319</v>
      </c>
      <c r="E39" s="173">
        <v>2048141</v>
      </c>
      <c r="F39" s="174">
        <v>10049787</v>
      </c>
      <c r="G39" s="175">
        <v>5709792</v>
      </c>
      <c r="H39" s="173">
        <v>2570849</v>
      </c>
      <c r="I39" s="173">
        <v>2793239</v>
      </c>
      <c r="J39" s="173">
        <v>11073880</v>
      </c>
      <c r="K39" s="175">
        <v>5023474</v>
      </c>
      <c r="L39" s="174">
        <v>2656677</v>
      </c>
      <c r="M39" s="174">
        <v>3272285</v>
      </c>
      <c r="N39" s="174">
        <v>10952436</v>
      </c>
      <c r="O39" s="31"/>
    </row>
    <row r="40" spans="1:16">
      <c r="A40" s="13"/>
      <c r="B40" s="166" t="s">
        <v>19</v>
      </c>
      <c r="C40" s="173">
        <v>6268060</v>
      </c>
      <c r="D40" s="173">
        <v>2142754</v>
      </c>
      <c r="E40" s="173">
        <v>2073766</v>
      </c>
      <c r="F40" s="174">
        <v>10484580</v>
      </c>
      <c r="G40" s="175">
        <v>5788065</v>
      </c>
      <c r="H40" s="173">
        <v>2493644</v>
      </c>
      <c r="I40" s="173">
        <v>2586796</v>
      </c>
      <c r="J40" s="173">
        <v>10868505</v>
      </c>
      <c r="K40" s="175">
        <v>6335057</v>
      </c>
      <c r="L40" s="174">
        <v>3133373</v>
      </c>
      <c r="M40" s="174">
        <v>3826851</v>
      </c>
      <c r="N40" s="174">
        <v>13295281</v>
      </c>
      <c r="O40" s="31"/>
    </row>
    <row r="41" spans="1:16">
      <c r="A41" s="13"/>
      <c r="B41" s="166" t="s">
        <v>344</v>
      </c>
      <c r="C41" s="173">
        <v>5539390</v>
      </c>
      <c r="D41" s="173">
        <v>1168334</v>
      </c>
      <c r="E41" s="173">
        <v>1027508</v>
      </c>
      <c r="F41" s="174">
        <v>7735232</v>
      </c>
      <c r="G41" s="175">
        <v>5262103</v>
      </c>
      <c r="H41" s="173">
        <v>1379274</v>
      </c>
      <c r="I41" s="173">
        <v>1218614</v>
      </c>
      <c r="J41" s="173">
        <v>7859991</v>
      </c>
      <c r="K41" s="175">
        <v>5966939</v>
      </c>
      <c r="L41" s="174">
        <v>1734956</v>
      </c>
      <c r="M41" s="174">
        <v>1668984</v>
      </c>
      <c r="N41" s="174">
        <v>9370879</v>
      </c>
      <c r="O41" s="31"/>
    </row>
    <row r="42" spans="1:16">
      <c r="A42" s="13"/>
      <c r="B42" s="166"/>
      <c r="C42" s="173"/>
      <c r="D42" s="173"/>
      <c r="E42" s="173"/>
      <c r="F42" s="174"/>
      <c r="G42" s="175"/>
      <c r="H42" s="173"/>
      <c r="I42" s="173"/>
      <c r="J42" s="173"/>
      <c r="K42" s="175"/>
      <c r="L42" s="174"/>
      <c r="M42" s="174"/>
      <c r="N42" s="174"/>
      <c r="O42" s="31"/>
    </row>
    <row r="43" spans="1:16">
      <c r="A43" s="172" t="s">
        <v>72</v>
      </c>
      <c r="B43" s="166"/>
      <c r="C43" s="174"/>
      <c r="D43" s="174"/>
      <c r="E43" s="174"/>
      <c r="F43" s="174"/>
      <c r="G43" s="178"/>
      <c r="H43" s="173"/>
      <c r="I43" s="173"/>
      <c r="J43" s="173"/>
      <c r="K43" s="175"/>
      <c r="L43" s="179"/>
      <c r="M43" s="174"/>
      <c r="N43" s="174"/>
      <c r="O43" s="31"/>
      <c r="P43" s="31"/>
    </row>
    <row r="44" spans="1:16">
      <c r="A44" s="172"/>
      <c r="B44" s="166" t="s">
        <v>73</v>
      </c>
      <c r="C44" s="173">
        <v>14730375</v>
      </c>
      <c r="D44" s="173">
        <v>3886967</v>
      </c>
      <c r="E44" s="173">
        <v>1789725</v>
      </c>
      <c r="F44" s="174">
        <v>20407067</v>
      </c>
      <c r="G44" s="175">
        <v>13250042</v>
      </c>
      <c r="H44" s="173">
        <v>4452757</v>
      </c>
      <c r="I44" s="173">
        <v>2332215</v>
      </c>
      <c r="J44" s="173">
        <v>20035014</v>
      </c>
      <c r="K44" s="175">
        <v>13544170</v>
      </c>
      <c r="L44" s="174">
        <v>5096682</v>
      </c>
      <c r="M44" s="174">
        <v>3088366</v>
      </c>
      <c r="N44" s="174">
        <v>21729218</v>
      </c>
      <c r="P44" s="30"/>
    </row>
    <row r="45" spans="1:16">
      <c r="A45" s="172"/>
      <c r="B45" s="166" t="s">
        <v>74</v>
      </c>
      <c r="C45" s="173">
        <v>2146753</v>
      </c>
      <c r="D45" s="173">
        <v>928217</v>
      </c>
      <c r="E45" s="173">
        <v>874150</v>
      </c>
      <c r="F45" s="174">
        <v>3949120</v>
      </c>
      <c r="G45" s="175">
        <v>1919983</v>
      </c>
      <c r="H45" s="173">
        <v>932808</v>
      </c>
      <c r="I45" s="173">
        <v>1016349</v>
      </c>
      <c r="J45" s="173">
        <v>3869140</v>
      </c>
      <c r="K45" s="175">
        <v>1502639</v>
      </c>
      <c r="L45" s="174">
        <v>892515</v>
      </c>
      <c r="M45" s="174">
        <v>1158103</v>
      </c>
      <c r="N45" s="174">
        <v>3553257</v>
      </c>
      <c r="P45" s="30"/>
    </row>
    <row r="46" spans="1:16">
      <c r="A46" s="172"/>
      <c r="B46" s="166" t="s">
        <v>75</v>
      </c>
      <c r="C46" s="173">
        <v>1247198</v>
      </c>
      <c r="D46" s="173">
        <v>581994</v>
      </c>
      <c r="E46" s="173">
        <v>1444471</v>
      </c>
      <c r="F46" s="174">
        <v>3273663</v>
      </c>
      <c r="G46" s="175">
        <v>1093408</v>
      </c>
      <c r="H46" s="173">
        <v>646566</v>
      </c>
      <c r="I46" s="173">
        <v>1642614</v>
      </c>
      <c r="J46" s="173">
        <v>3382588</v>
      </c>
      <c r="K46" s="175">
        <v>877596</v>
      </c>
      <c r="L46" s="174">
        <v>593086</v>
      </c>
      <c r="M46" s="174">
        <v>1623282</v>
      </c>
      <c r="N46" s="174">
        <v>3093964</v>
      </c>
      <c r="P46" s="30"/>
    </row>
    <row r="47" spans="1:16">
      <c r="A47" s="172"/>
      <c r="B47" s="166" t="s">
        <v>76</v>
      </c>
      <c r="C47" s="173">
        <v>94514</v>
      </c>
      <c r="D47" s="173">
        <v>70508</v>
      </c>
      <c r="E47" s="173">
        <v>222680</v>
      </c>
      <c r="F47" s="174">
        <v>387702</v>
      </c>
      <c r="G47" s="175">
        <v>127278</v>
      </c>
      <c r="H47" s="173">
        <v>79555</v>
      </c>
      <c r="I47" s="173">
        <v>276040</v>
      </c>
      <c r="J47" s="173">
        <v>482873</v>
      </c>
      <c r="K47" s="175">
        <v>354639</v>
      </c>
      <c r="L47" s="174">
        <v>250780</v>
      </c>
      <c r="M47" s="174">
        <v>874870</v>
      </c>
      <c r="N47" s="174">
        <v>1480289</v>
      </c>
      <c r="P47" s="30"/>
    </row>
    <row r="48" spans="1:16">
      <c r="B48" s="36"/>
      <c r="C48" s="30"/>
      <c r="D48" s="30"/>
      <c r="E48" s="30"/>
      <c r="F48" s="30"/>
      <c r="G48" s="30"/>
      <c r="H48" s="30"/>
      <c r="I48" s="30"/>
      <c r="J48" s="30"/>
      <c r="K48" s="30"/>
      <c r="L48" s="30"/>
      <c r="M48" s="30"/>
      <c r="N48" s="30"/>
      <c r="O48" s="31"/>
    </row>
    <row r="49" spans="1:15">
      <c r="B49" s="24"/>
      <c r="C49" s="30"/>
      <c r="D49" s="30"/>
      <c r="E49" s="30"/>
      <c r="F49" s="31"/>
      <c r="G49" s="31"/>
      <c r="H49" s="30"/>
      <c r="I49" s="30"/>
      <c r="J49" s="30"/>
      <c r="K49" s="31"/>
      <c r="L49" s="31"/>
      <c r="M49" s="31"/>
      <c r="N49" s="31"/>
      <c r="O49" s="31"/>
    </row>
    <row r="50" spans="1:15" ht="15" customHeight="1">
      <c r="A50" s="329" t="s">
        <v>345</v>
      </c>
      <c r="B50" s="329"/>
      <c r="C50" s="329"/>
      <c r="D50" s="329"/>
      <c r="E50" s="329"/>
      <c r="F50" s="329"/>
      <c r="G50" s="329"/>
      <c r="H50" s="329"/>
      <c r="I50" s="329"/>
      <c r="J50" s="329"/>
      <c r="K50" s="329"/>
      <c r="L50" s="329"/>
      <c r="M50" s="329"/>
      <c r="N50" s="329"/>
      <c r="O50" s="181"/>
    </row>
    <row r="51" spans="1:15">
      <c r="A51" s="329"/>
      <c r="B51" s="329"/>
      <c r="C51" s="329"/>
      <c r="D51" s="329"/>
      <c r="E51" s="329"/>
      <c r="F51" s="329"/>
      <c r="G51" s="329"/>
      <c r="H51" s="329"/>
      <c r="I51" s="329"/>
      <c r="J51" s="329"/>
      <c r="K51" s="329"/>
      <c r="L51" s="329"/>
      <c r="M51" s="329"/>
      <c r="N51" s="329"/>
      <c r="O51" s="181"/>
    </row>
    <row r="52" spans="1:15">
      <c r="A52" s="329"/>
      <c r="B52" s="329"/>
      <c r="C52" s="329"/>
      <c r="D52" s="329"/>
      <c r="E52" s="329"/>
      <c r="F52" s="329"/>
      <c r="G52" s="329"/>
      <c r="H52" s="329"/>
      <c r="I52" s="329"/>
      <c r="J52" s="329"/>
      <c r="K52" s="329"/>
      <c r="L52" s="329"/>
      <c r="M52" s="329"/>
      <c r="N52" s="329"/>
      <c r="O52" s="181"/>
    </row>
    <row r="53" spans="1:15">
      <c r="A53" s="329"/>
      <c r="B53" s="329"/>
      <c r="C53" s="329"/>
      <c r="D53" s="329"/>
      <c r="E53" s="329"/>
      <c r="F53" s="329"/>
      <c r="G53" s="329"/>
      <c r="H53" s="329"/>
      <c r="I53" s="329"/>
      <c r="J53" s="329"/>
      <c r="K53" s="329"/>
      <c r="L53" s="329"/>
      <c r="M53" s="329"/>
      <c r="N53" s="329"/>
      <c r="O53" s="181"/>
    </row>
    <row r="54" spans="1:15">
      <c r="A54" s="329"/>
      <c r="B54" s="329"/>
      <c r="C54" s="329"/>
      <c r="D54" s="329"/>
      <c r="E54" s="329"/>
      <c r="F54" s="329"/>
      <c r="G54" s="329"/>
      <c r="H54" s="329"/>
      <c r="I54" s="329"/>
      <c r="J54" s="329"/>
      <c r="K54" s="329"/>
      <c r="L54" s="329"/>
      <c r="M54" s="329"/>
      <c r="N54" s="329"/>
    </row>
    <row r="55" spans="1:15">
      <c r="A55" s="24" t="s">
        <v>77</v>
      </c>
      <c r="C55"/>
      <c r="D55"/>
      <c r="E55"/>
      <c r="F55"/>
    </row>
    <row r="58" spans="1:15">
      <c r="F58" s="35">
        <f>SUM(F52:F54)</f>
        <v>0</v>
      </c>
    </row>
  </sheetData>
  <mergeCells count="4">
    <mergeCell ref="A50:N54"/>
    <mergeCell ref="C5:F5"/>
    <mergeCell ref="G5:J5"/>
    <mergeCell ref="K5:N5"/>
  </mergeCells>
  <pageMargins left="0.7" right="0.7" top="0.75" bottom="0.75" header="0.3" footer="0.3"/>
  <pageSetup scale="6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workbookViewId="0">
      <selection activeCell="B2" sqref="B2"/>
    </sheetView>
  </sheetViews>
  <sheetFormatPr defaultColWidth="8.85546875" defaultRowHeight="15"/>
  <cols>
    <col min="2" max="2" width="11.140625" bestFit="1" customWidth="1"/>
    <col min="4" max="4" width="12.140625" customWidth="1"/>
    <col min="5" max="5" width="11.140625" customWidth="1"/>
    <col min="6" max="6" width="13.42578125" bestFit="1" customWidth="1"/>
    <col min="7" max="7" width="14.42578125" customWidth="1"/>
    <col min="8" max="8" width="21.42578125" bestFit="1" customWidth="1"/>
  </cols>
  <sheetData>
    <row r="1" spans="1:9">
      <c r="A1" s="108" t="s">
        <v>284</v>
      </c>
      <c r="B1" s="109"/>
      <c r="C1" s="109"/>
      <c r="D1" s="109"/>
      <c r="E1" s="109"/>
      <c r="F1" s="109"/>
      <c r="G1" s="110"/>
      <c r="H1" s="109"/>
      <c r="I1" s="23"/>
    </row>
    <row r="2" spans="1:9">
      <c r="A2" s="111"/>
      <c r="B2" s="109"/>
      <c r="C2" s="109"/>
      <c r="D2" s="109"/>
      <c r="E2" s="109"/>
      <c r="F2" s="109"/>
      <c r="G2" s="110"/>
      <c r="H2" s="109"/>
      <c r="I2" s="23"/>
    </row>
    <row r="3" spans="1:9">
      <c r="A3" s="110"/>
      <c r="B3" s="109"/>
      <c r="C3" s="109"/>
      <c r="D3" s="109"/>
      <c r="E3" s="109"/>
      <c r="F3" s="109"/>
      <c r="G3" s="110"/>
      <c r="H3" s="109"/>
      <c r="I3" s="86"/>
    </row>
    <row r="4" spans="1:9" ht="25.5">
      <c r="A4" s="110"/>
      <c r="B4" s="112" t="s">
        <v>192</v>
      </c>
      <c r="C4" s="275" t="s">
        <v>193</v>
      </c>
      <c r="D4" s="332" t="s">
        <v>194</v>
      </c>
      <c r="E4" s="332"/>
      <c r="F4" s="275" t="s">
        <v>195</v>
      </c>
      <c r="G4" s="113" t="s">
        <v>196</v>
      </c>
      <c r="H4" s="275" t="s">
        <v>197</v>
      </c>
      <c r="I4" s="114"/>
    </row>
    <row r="5" spans="1:9" ht="26.25">
      <c r="A5" s="115" t="s">
        <v>198</v>
      </c>
      <c r="B5" s="115" t="s">
        <v>199</v>
      </c>
      <c r="C5" s="116" t="s">
        <v>199</v>
      </c>
      <c r="D5" s="117" t="s">
        <v>200</v>
      </c>
      <c r="E5" s="117" t="s">
        <v>201</v>
      </c>
      <c r="F5" s="116" t="s">
        <v>202</v>
      </c>
      <c r="G5" s="117" t="s">
        <v>203</v>
      </c>
      <c r="H5" s="116" t="s">
        <v>204</v>
      </c>
      <c r="I5" s="114"/>
    </row>
    <row r="6" spans="1:9">
      <c r="A6" s="110">
        <v>1980</v>
      </c>
      <c r="B6" s="118">
        <v>480.20999999999992</v>
      </c>
      <c r="C6" s="119">
        <v>440</v>
      </c>
      <c r="D6" s="120">
        <v>174</v>
      </c>
      <c r="E6" s="121">
        <v>371</v>
      </c>
      <c r="F6" s="122">
        <v>915</v>
      </c>
      <c r="G6" s="87">
        <v>5.4000000999999997</v>
      </c>
      <c r="H6" s="123">
        <v>46554.084368932032</v>
      </c>
      <c r="I6" s="23"/>
    </row>
    <row r="7" spans="1:9">
      <c r="A7" s="110">
        <v>1981</v>
      </c>
      <c r="B7" s="118">
        <v>421.22</v>
      </c>
      <c r="C7" s="119">
        <v>378.80000000000007</v>
      </c>
      <c r="D7" s="120">
        <v>164</v>
      </c>
      <c r="E7" s="121">
        <v>283</v>
      </c>
      <c r="F7" s="122">
        <v>930</v>
      </c>
      <c r="G7" s="87">
        <v>5</v>
      </c>
      <c r="H7" s="123">
        <v>44100.233663366329</v>
      </c>
      <c r="I7" s="23"/>
    </row>
    <row r="8" spans="1:9">
      <c r="A8" s="110">
        <v>1982</v>
      </c>
      <c r="B8" s="118">
        <v>454.05200000000002</v>
      </c>
      <c r="C8" s="119">
        <v>399.6</v>
      </c>
      <c r="D8" s="120">
        <v>148</v>
      </c>
      <c r="E8" s="121">
        <v>226</v>
      </c>
      <c r="F8" s="122">
        <v>925</v>
      </c>
      <c r="G8" s="87">
        <v>5.3000002000000004</v>
      </c>
      <c r="H8" s="123">
        <v>36968.202818652848</v>
      </c>
      <c r="I8" s="23"/>
    </row>
    <row r="9" spans="1:9">
      <c r="A9" s="110">
        <v>1983</v>
      </c>
      <c r="B9" s="118">
        <v>703.76099999999997</v>
      </c>
      <c r="C9" s="119">
        <v>635.40000000000009</v>
      </c>
      <c r="D9" s="120">
        <v>152</v>
      </c>
      <c r="E9" s="121">
        <v>314</v>
      </c>
      <c r="F9" s="122">
        <v>893</v>
      </c>
      <c r="G9" s="87">
        <v>5.6999997999999996</v>
      </c>
      <c r="H9" s="123">
        <v>51743.940943775102</v>
      </c>
      <c r="I9" s="23"/>
    </row>
    <row r="10" spans="1:9">
      <c r="A10" s="110">
        <v>1984</v>
      </c>
      <c r="B10" s="118">
        <v>759.37499999999989</v>
      </c>
      <c r="C10" s="119">
        <v>665.3</v>
      </c>
      <c r="D10" s="120">
        <v>197</v>
      </c>
      <c r="E10" s="121">
        <v>430</v>
      </c>
      <c r="F10" s="122">
        <v>871</v>
      </c>
      <c r="G10" s="87">
        <v>5.9000000999999997</v>
      </c>
      <c r="H10" s="123">
        <v>62361.619576515877</v>
      </c>
      <c r="I10" s="23"/>
    </row>
    <row r="11" spans="1:9">
      <c r="A11" s="110">
        <v>1985</v>
      </c>
      <c r="B11" s="118">
        <v>776.67100000000005</v>
      </c>
      <c r="C11" s="119">
        <v>669.39999999999986</v>
      </c>
      <c r="D11" s="120">
        <v>184</v>
      </c>
      <c r="E11" s="121">
        <v>447</v>
      </c>
      <c r="F11" s="122">
        <v>882</v>
      </c>
      <c r="G11" s="87">
        <v>6.5</v>
      </c>
      <c r="H11" s="123">
        <v>60895.754330855023</v>
      </c>
      <c r="I11" s="23"/>
    </row>
    <row r="12" spans="1:9">
      <c r="A12" s="110">
        <v>1986</v>
      </c>
      <c r="B12" s="118">
        <v>691.84699999999998</v>
      </c>
      <c r="C12" s="119">
        <v>626</v>
      </c>
      <c r="D12" s="120">
        <v>133</v>
      </c>
      <c r="E12" s="121">
        <v>503</v>
      </c>
      <c r="F12" s="122">
        <v>876</v>
      </c>
      <c r="G12" s="87">
        <v>7.3000002000000004</v>
      </c>
      <c r="H12" s="123">
        <v>65019.512518248179</v>
      </c>
      <c r="I12" s="23"/>
    </row>
    <row r="13" spans="1:9">
      <c r="A13" s="110">
        <v>1987</v>
      </c>
      <c r="B13" s="118">
        <v>510.39799999999991</v>
      </c>
      <c r="C13" s="119">
        <v>474.09999999999991</v>
      </c>
      <c r="D13" s="120">
        <v>134</v>
      </c>
      <c r="E13" s="121">
        <v>412</v>
      </c>
      <c r="F13" s="122">
        <v>920</v>
      </c>
      <c r="G13" s="87">
        <v>7.6999997999999996</v>
      </c>
      <c r="H13" s="123">
        <v>51440.374014084511</v>
      </c>
      <c r="I13" s="23"/>
    </row>
    <row r="14" spans="1:9">
      <c r="A14" s="110">
        <v>1988</v>
      </c>
      <c r="B14" s="118">
        <v>461.851</v>
      </c>
      <c r="C14" s="119">
        <v>406.79999999999995</v>
      </c>
      <c r="D14" s="120">
        <v>117</v>
      </c>
      <c r="E14" s="121">
        <v>329</v>
      </c>
      <c r="F14" s="122">
        <v>940</v>
      </c>
      <c r="G14" s="87">
        <v>7.6999997999999996</v>
      </c>
      <c r="H14" s="123">
        <v>43275.460794590028</v>
      </c>
      <c r="I14" s="23"/>
    </row>
    <row r="15" spans="1:9">
      <c r="A15" s="110">
        <v>1989</v>
      </c>
      <c r="B15" s="118">
        <v>406.76099999999997</v>
      </c>
      <c r="C15" s="119">
        <v>372.79999999999995</v>
      </c>
      <c r="D15" s="120">
        <v>90</v>
      </c>
      <c r="E15" s="121">
        <v>307</v>
      </c>
      <c r="F15" s="122">
        <v>940</v>
      </c>
      <c r="G15" s="87">
        <v>7.4000000999999997</v>
      </c>
      <c r="H15" s="123">
        <v>41297.294967741931</v>
      </c>
      <c r="I15" s="23"/>
    </row>
    <row r="16" spans="1:9">
      <c r="A16" s="110">
        <v>1990</v>
      </c>
      <c r="B16" s="118">
        <v>316.8420000000001</v>
      </c>
      <c r="C16" s="119">
        <v>297.90000000000009</v>
      </c>
      <c r="D16" s="120">
        <v>76</v>
      </c>
      <c r="E16" s="121">
        <v>266</v>
      </c>
      <c r="F16" s="122">
        <v>955</v>
      </c>
      <c r="G16" s="87">
        <v>7.1999997999999996</v>
      </c>
      <c r="H16" s="123">
        <v>33815.489671002295</v>
      </c>
      <c r="I16" s="23"/>
    </row>
    <row r="17" spans="1:9">
      <c r="A17" s="110">
        <v>1991</v>
      </c>
      <c r="B17" s="118">
        <v>195.25699999999995</v>
      </c>
      <c r="C17" s="119">
        <v>173.5</v>
      </c>
      <c r="D17" s="120">
        <v>56</v>
      </c>
      <c r="E17" s="121">
        <v>197</v>
      </c>
      <c r="F17" s="122">
        <v>980</v>
      </c>
      <c r="G17" s="87">
        <v>7.4000000999999997</v>
      </c>
      <c r="H17" s="123">
        <v>25535.168223201177</v>
      </c>
      <c r="I17" s="23"/>
    </row>
    <row r="18" spans="1:9">
      <c r="A18" s="110">
        <v>1992</v>
      </c>
      <c r="B18" s="118">
        <v>184.25400000000002</v>
      </c>
      <c r="C18" s="119">
        <v>169.79999999999995</v>
      </c>
      <c r="D18" s="120">
        <v>44</v>
      </c>
      <c r="E18" s="121">
        <v>150</v>
      </c>
      <c r="F18" s="122">
        <v>985</v>
      </c>
      <c r="G18" s="87">
        <v>7.4000000999999997</v>
      </c>
      <c r="H18" s="123">
        <v>21427.682366357803</v>
      </c>
      <c r="I18" s="23"/>
    </row>
    <row r="19" spans="1:9">
      <c r="A19" s="110">
        <v>1993</v>
      </c>
      <c r="B19" s="118">
        <v>212.51400000000012</v>
      </c>
      <c r="C19" s="119">
        <v>161.89999999999986</v>
      </c>
      <c r="D19" s="120">
        <v>44</v>
      </c>
      <c r="E19" s="121">
        <v>109</v>
      </c>
      <c r="F19" s="122">
        <v>1005</v>
      </c>
      <c r="G19" s="87">
        <v>7.3000002000000004</v>
      </c>
      <c r="H19" s="123">
        <v>17140.900152249134</v>
      </c>
      <c r="I19" s="23"/>
    </row>
    <row r="20" spans="1:9">
      <c r="A20" s="110">
        <v>1994</v>
      </c>
      <c r="B20" s="118">
        <v>303.17599999999993</v>
      </c>
      <c r="C20" s="119">
        <v>258.59999999999991</v>
      </c>
      <c r="D20" s="120">
        <v>49</v>
      </c>
      <c r="E20" s="121">
        <v>138</v>
      </c>
      <c r="F20" s="122">
        <v>1015</v>
      </c>
      <c r="G20" s="87">
        <v>7.4000000999999997</v>
      </c>
      <c r="H20" s="123">
        <v>21814.528434547909</v>
      </c>
      <c r="I20" s="23"/>
    </row>
    <row r="21" spans="1:9">
      <c r="A21" s="110">
        <v>1995</v>
      </c>
      <c r="B21" s="118">
        <v>335.28099999999995</v>
      </c>
      <c r="C21" s="119">
        <v>277.89999999999986</v>
      </c>
      <c r="D21" s="120">
        <v>51</v>
      </c>
      <c r="E21" s="121">
        <v>196</v>
      </c>
      <c r="F21" s="122">
        <v>1040</v>
      </c>
      <c r="G21" s="87">
        <v>7.5999999000000003</v>
      </c>
      <c r="H21" s="123">
        <v>26950.177598425198</v>
      </c>
      <c r="I21" s="23"/>
    </row>
    <row r="22" spans="1:9">
      <c r="A22" s="110">
        <v>1996</v>
      </c>
      <c r="B22" s="118">
        <v>356.14400000000001</v>
      </c>
      <c r="C22" s="119">
        <v>315.89999999999986</v>
      </c>
      <c r="D22" s="120">
        <v>50</v>
      </c>
      <c r="E22" s="121">
        <v>234</v>
      </c>
      <c r="F22" s="122">
        <v>1030</v>
      </c>
      <c r="G22" s="87">
        <v>7.8000002000000004</v>
      </c>
      <c r="H22" s="123">
        <v>29740.398062460165</v>
      </c>
      <c r="I22" s="23"/>
    </row>
    <row r="23" spans="1:9">
      <c r="A23" s="110">
        <v>1997</v>
      </c>
      <c r="B23" s="118">
        <v>378.74</v>
      </c>
      <c r="C23" s="119">
        <v>340.29999999999995</v>
      </c>
      <c r="D23" s="120">
        <v>54</v>
      </c>
      <c r="E23" s="121">
        <v>230</v>
      </c>
      <c r="F23" s="122">
        <v>1050</v>
      </c>
      <c r="G23" s="87">
        <v>7.6999997999999996</v>
      </c>
      <c r="H23" s="123">
        <v>32733.9532834891</v>
      </c>
      <c r="I23" s="23"/>
    </row>
    <row r="24" spans="1:9">
      <c r="A24" s="110">
        <v>1998</v>
      </c>
      <c r="B24" s="118">
        <v>424.6579999999999</v>
      </c>
      <c r="C24" s="119">
        <v>345.5</v>
      </c>
      <c r="D24" s="120">
        <v>55</v>
      </c>
      <c r="E24" s="121">
        <v>260</v>
      </c>
      <c r="F24" s="122">
        <v>1020</v>
      </c>
      <c r="G24" s="87">
        <v>7.9000000999999997</v>
      </c>
      <c r="H24" s="123">
        <v>34613.76046625767</v>
      </c>
      <c r="I24" s="23"/>
    </row>
    <row r="25" spans="1:9">
      <c r="A25" s="110">
        <v>1999</v>
      </c>
      <c r="B25" s="118">
        <v>416.86799999999994</v>
      </c>
      <c r="C25" s="119">
        <v>338.5</v>
      </c>
      <c r="D25" s="120">
        <v>55</v>
      </c>
      <c r="E25" s="121">
        <v>279</v>
      </c>
      <c r="F25" s="122">
        <v>1041</v>
      </c>
      <c r="G25" s="87">
        <v>8.1000004000000008</v>
      </c>
      <c r="H25" s="123">
        <v>37807.213661464586</v>
      </c>
      <c r="I25" s="23"/>
    </row>
    <row r="26" spans="1:9">
      <c r="A26" s="110">
        <v>2000</v>
      </c>
      <c r="B26" s="118">
        <v>394.20000000000005</v>
      </c>
      <c r="C26" s="119">
        <v>337.79999999999995</v>
      </c>
      <c r="D26" s="120">
        <v>60</v>
      </c>
      <c r="E26" s="121">
        <v>272</v>
      </c>
      <c r="F26" s="122">
        <v>1039</v>
      </c>
      <c r="G26" s="87">
        <v>8</v>
      </c>
      <c r="H26" s="123">
        <v>37677.68203252033</v>
      </c>
      <c r="I26" s="23"/>
    </row>
    <row r="27" spans="1:9">
      <c r="A27" s="110">
        <v>2001</v>
      </c>
      <c r="B27" s="118">
        <v>401.12599999999998</v>
      </c>
      <c r="C27" s="119">
        <v>329.40000000000009</v>
      </c>
      <c r="D27" s="120">
        <v>75</v>
      </c>
      <c r="E27" s="121">
        <v>240</v>
      </c>
      <c r="F27" s="122">
        <v>1104</v>
      </c>
      <c r="G27" s="87">
        <v>8.3999995999999992</v>
      </c>
      <c r="H27" s="123">
        <v>39287.66894409938</v>
      </c>
      <c r="I27" s="23"/>
    </row>
    <row r="28" spans="1:9">
      <c r="A28" s="110">
        <v>2002</v>
      </c>
      <c r="B28" s="118">
        <v>415.05800000000022</v>
      </c>
      <c r="C28" s="119">
        <v>346.30000000000018</v>
      </c>
      <c r="D28" s="120">
        <v>63</v>
      </c>
      <c r="E28" s="121">
        <v>260</v>
      </c>
      <c r="F28" s="122">
        <v>1070</v>
      </c>
      <c r="G28" s="87">
        <v>8.8999995999999992</v>
      </c>
      <c r="H28" s="123">
        <v>42054.371806559197</v>
      </c>
      <c r="I28" s="23"/>
    </row>
    <row r="29" spans="1:9">
      <c r="A29" s="110">
        <v>2003</v>
      </c>
      <c r="B29" s="118">
        <v>428.327</v>
      </c>
      <c r="C29" s="119">
        <v>348.70000000000005</v>
      </c>
      <c r="D29" s="120">
        <v>56</v>
      </c>
      <c r="E29" s="121">
        <v>236</v>
      </c>
      <c r="F29" s="122">
        <v>1092</v>
      </c>
      <c r="G29" s="87">
        <v>9.8000001999999995</v>
      </c>
      <c r="H29" s="123">
        <v>43817.515782608694</v>
      </c>
      <c r="I29" s="23"/>
    </row>
    <row r="30" spans="1:9">
      <c r="A30" s="110">
        <v>2004</v>
      </c>
      <c r="B30" s="118">
        <v>456.63200000000029</v>
      </c>
      <c r="C30" s="119">
        <v>345.29999999999995</v>
      </c>
      <c r="D30" s="120">
        <v>72</v>
      </c>
      <c r="E30" s="121">
        <v>238</v>
      </c>
      <c r="F30" s="122">
        <v>1105</v>
      </c>
      <c r="G30" s="87">
        <v>10.199999999999999</v>
      </c>
      <c r="H30" s="123">
        <v>48548.982191635783</v>
      </c>
      <c r="I30" s="23"/>
    </row>
    <row r="31" spans="1:9">
      <c r="A31" s="110">
        <v>2005</v>
      </c>
      <c r="B31" s="118">
        <v>473.3299999999997</v>
      </c>
      <c r="C31" s="119">
        <v>352.50000000000023</v>
      </c>
      <c r="D31" s="120">
        <v>97</v>
      </c>
      <c r="E31" s="121">
        <v>199</v>
      </c>
      <c r="F31" s="122">
        <v>1143</v>
      </c>
      <c r="G31" s="87">
        <v>9.8000001999999995</v>
      </c>
      <c r="H31" s="123">
        <v>55602.188520225289</v>
      </c>
      <c r="I31" s="23"/>
    </row>
    <row r="32" spans="1:9">
      <c r="A32" s="110">
        <v>2006</v>
      </c>
      <c r="B32" s="118">
        <v>460.68299999999999</v>
      </c>
      <c r="C32" s="119">
        <v>335.5</v>
      </c>
      <c r="D32" s="120">
        <v>127</v>
      </c>
      <c r="E32" s="121">
        <v>198</v>
      </c>
      <c r="F32" s="122">
        <v>1192</v>
      </c>
      <c r="G32" s="87">
        <v>9.6999998000000005</v>
      </c>
      <c r="H32" s="123">
        <v>60135.178482142852</v>
      </c>
      <c r="I32" s="23"/>
    </row>
    <row r="33" spans="1:9">
      <c r="A33" s="110">
        <v>2007</v>
      </c>
      <c r="B33" s="118">
        <v>418.52599999999995</v>
      </c>
      <c r="C33" s="119">
        <v>309</v>
      </c>
      <c r="D33" s="120">
        <v>116</v>
      </c>
      <c r="E33" s="121">
        <v>169</v>
      </c>
      <c r="F33" s="122">
        <v>1134</v>
      </c>
      <c r="G33" s="87">
        <v>9.6999998000000005</v>
      </c>
      <c r="H33" s="123">
        <v>54213.293235330995</v>
      </c>
      <c r="I33" s="23"/>
    </row>
    <row r="34" spans="1:9">
      <c r="A34" s="110">
        <v>2008</v>
      </c>
      <c r="B34" s="118">
        <v>329.80500000000006</v>
      </c>
      <c r="C34" s="119">
        <v>283.5</v>
      </c>
      <c r="D34" s="120">
        <v>101</v>
      </c>
      <c r="E34" s="121">
        <v>200</v>
      </c>
      <c r="F34" s="122">
        <v>1089</v>
      </c>
      <c r="G34" s="87">
        <v>10</v>
      </c>
      <c r="H34" s="123">
        <v>47280.988987612807</v>
      </c>
      <c r="I34" s="23"/>
    </row>
    <row r="35" spans="1:9">
      <c r="A35" s="110">
        <v>2009</v>
      </c>
      <c r="B35" s="118">
        <v>141.81499999999994</v>
      </c>
      <c r="C35" s="119">
        <v>108.89999999999998</v>
      </c>
      <c r="D35" s="120">
        <v>66</v>
      </c>
      <c r="E35" s="121">
        <v>208</v>
      </c>
      <c r="F35" s="122">
        <v>1124</v>
      </c>
      <c r="G35" s="87">
        <v>10.6</v>
      </c>
      <c r="H35" s="123">
        <v>30540.902371152759</v>
      </c>
      <c r="I35" s="23"/>
    </row>
    <row r="36" spans="1:9">
      <c r="A36" s="110">
        <v>2010</v>
      </c>
      <c r="B36" s="118">
        <v>157.29900000000004</v>
      </c>
      <c r="C36" s="119">
        <v>115.69999999999999</v>
      </c>
      <c r="D36" s="120">
        <v>30</v>
      </c>
      <c r="E36" s="121">
        <v>125</v>
      </c>
      <c r="F36" s="122">
        <v>1137</v>
      </c>
      <c r="G36" s="87">
        <v>10.199999999999999</v>
      </c>
      <c r="H36" s="123">
        <v>15463.080511428254</v>
      </c>
      <c r="I36" s="23"/>
    </row>
    <row r="37" spans="1:9">
      <c r="A37" s="110">
        <v>2011</v>
      </c>
      <c r="B37" s="118">
        <v>205.56300000000005</v>
      </c>
      <c r="C37" s="119">
        <v>178.19999999999993</v>
      </c>
      <c r="D37" s="120">
        <v>16</v>
      </c>
      <c r="E37" s="121">
        <v>123</v>
      </c>
      <c r="F37" s="122">
        <v>1093</v>
      </c>
      <c r="G37" s="87">
        <v>9.5</v>
      </c>
      <c r="H37" s="109">
        <v>15077.699145101562</v>
      </c>
      <c r="I37" s="23"/>
    </row>
    <row r="38" spans="1:9">
      <c r="A38" s="110">
        <v>2012</v>
      </c>
      <c r="B38" s="118">
        <v>310.96299999999997</v>
      </c>
      <c r="C38" s="119">
        <v>245.30000000000007</v>
      </c>
      <c r="D38" s="120">
        <v>11</v>
      </c>
      <c r="E38" s="121">
        <v>155</v>
      </c>
      <c r="F38" s="122">
        <v>1056</v>
      </c>
      <c r="G38" s="32">
        <v>8.6999998000000005</v>
      </c>
      <c r="H38" s="124">
        <v>21348</v>
      </c>
      <c r="I38" s="23"/>
    </row>
    <row r="39" spans="1:9">
      <c r="A39" s="110"/>
      <c r="I39" s="23"/>
    </row>
    <row r="40" spans="1:9">
      <c r="A40" s="125" t="s">
        <v>239</v>
      </c>
      <c r="B40" s="98"/>
      <c r="C40" s="98"/>
      <c r="D40" s="98"/>
      <c r="E40" s="98"/>
      <c r="F40" s="98"/>
      <c r="G40" s="98"/>
      <c r="H40" s="98"/>
      <c r="I40" s="23"/>
    </row>
    <row r="41" spans="1:9">
      <c r="A41" s="126" t="s">
        <v>205</v>
      </c>
      <c r="B41" s="127" t="s">
        <v>245</v>
      </c>
      <c r="C41" s="128"/>
      <c r="D41" s="128"/>
      <c r="E41" s="128"/>
      <c r="F41" s="128"/>
      <c r="G41" s="128"/>
      <c r="H41" s="128"/>
      <c r="I41" s="23"/>
    </row>
    <row r="42" spans="1:9">
      <c r="A42" s="37"/>
      <c r="B42" s="127" t="s">
        <v>206</v>
      </c>
      <c r="C42" s="127"/>
      <c r="D42" s="127"/>
      <c r="E42" s="127"/>
      <c r="F42" s="127"/>
      <c r="G42" s="127"/>
      <c r="H42" s="127"/>
      <c r="I42" s="23"/>
    </row>
    <row r="43" spans="1:9">
      <c r="A43" s="37"/>
      <c r="B43" s="127" t="s">
        <v>240</v>
      </c>
      <c r="C43" s="127"/>
      <c r="D43" s="127"/>
      <c r="E43" s="127"/>
      <c r="F43" s="127"/>
      <c r="G43" s="127"/>
      <c r="H43" s="127"/>
      <c r="I43" s="23"/>
    </row>
    <row r="44" spans="1:9">
      <c r="A44" s="37"/>
      <c r="B44" s="127" t="s">
        <v>221</v>
      </c>
      <c r="C44" s="127"/>
      <c r="D44" s="127"/>
      <c r="E44" s="127"/>
      <c r="F44" s="127"/>
      <c r="G44" s="127"/>
      <c r="H44" s="127"/>
    </row>
    <row r="45" spans="1:9">
      <c r="A45" s="37"/>
      <c r="B45" s="127" t="s">
        <v>207</v>
      </c>
      <c r="C45" s="127"/>
      <c r="D45" s="127"/>
      <c r="E45" s="127"/>
      <c r="F45" s="127"/>
      <c r="G45" s="127"/>
      <c r="H45" s="127"/>
    </row>
  </sheetData>
  <mergeCells count="1">
    <mergeCell ref="D4:E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workbookViewId="0">
      <selection activeCell="A3" sqref="A3"/>
    </sheetView>
  </sheetViews>
  <sheetFormatPr defaultColWidth="8.85546875" defaultRowHeight="15"/>
  <cols>
    <col min="1" max="1" width="13.85546875" customWidth="1"/>
    <col min="2" max="19" width="9.28515625" customWidth="1"/>
  </cols>
  <sheetData>
    <row r="1" spans="1:19">
      <c r="A1" s="1"/>
    </row>
    <row r="2" spans="1:19">
      <c r="A2" s="1" t="s">
        <v>409</v>
      </c>
    </row>
    <row r="3" spans="1:19">
      <c r="A3" t="s">
        <v>49</v>
      </c>
    </row>
    <row r="5" spans="1:19">
      <c r="A5" s="21"/>
      <c r="B5" s="19">
        <v>1995</v>
      </c>
      <c r="C5" s="19">
        <v>1996</v>
      </c>
      <c r="D5" s="19">
        <v>1997</v>
      </c>
      <c r="E5" s="19">
        <v>1998</v>
      </c>
      <c r="F5" s="19">
        <v>1999</v>
      </c>
      <c r="G5" s="19">
        <v>2000</v>
      </c>
      <c r="H5" s="19">
        <v>2001</v>
      </c>
      <c r="I5" s="19">
        <v>2002</v>
      </c>
      <c r="J5" s="19">
        <v>2003</v>
      </c>
      <c r="K5" s="19">
        <v>2004</v>
      </c>
      <c r="L5" s="19">
        <v>2005</v>
      </c>
      <c r="M5" s="19">
        <v>2006</v>
      </c>
      <c r="N5" s="19">
        <v>2007</v>
      </c>
      <c r="O5" s="19">
        <v>2008</v>
      </c>
      <c r="P5" s="19">
        <v>2009</v>
      </c>
      <c r="Q5" s="19">
        <v>2010</v>
      </c>
      <c r="R5" s="19">
        <v>2011</v>
      </c>
      <c r="S5" s="19">
        <v>2012</v>
      </c>
    </row>
    <row r="6" spans="1:19">
      <c r="A6" s="21"/>
      <c r="B6" s="21"/>
      <c r="C6" s="21"/>
      <c r="D6" s="21"/>
      <c r="E6" s="21"/>
      <c r="F6" s="21"/>
      <c r="G6" s="21"/>
      <c r="H6" s="21"/>
      <c r="I6" s="21"/>
      <c r="J6" s="21"/>
      <c r="K6" s="21"/>
      <c r="L6" s="21"/>
      <c r="M6" s="21"/>
      <c r="N6" s="21"/>
      <c r="O6" s="21"/>
      <c r="P6" s="21"/>
      <c r="Q6" s="21"/>
      <c r="R6" s="21"/>
      <c r="S6" s="21"/>
    </row>
    <row r="7" spans="1:19">
      <c r="A7" s="19" t="s">
        <v>29</v>
      </c>
      <c r="B7" s="83">
        <v>35.252935410957505</v>
      </c>
      <c r="C7" s="83">
        <v>34.600873414337102</v>
      </c>
      <c r="D7" s="83">
        <v>34.303969628477205</v>
      </c>
      <c r="E7" s="83">
        <v>33.705195444930595</v>
      </c>
      <c r="F7" s="83">
        <v>33.194826978242403</v>
      </c>
      <c r="G7" s="83">
        <v>32.605302736499596</v>
      </c>
      <c r="H7" s="83">
        <v>32.160846283957397</v>
      </c>
      <c r="I7" s="83">
        <v>32.094201932054204</v>
      </c>
      <c r="J7" s="83">
        <v>31.7411898446381</v>
      </c>
      <c r="K7" s="83">
        <v>30.972820325180393</v>
      </c>
      <c r="L7" s="83">
        <v>31.1167780026055</v>
      </c>
      <c r="M7" s="83">
        <v>31.2075637000803</v>
      </c>
      <c r="N7" s="83">
        <v>31.863180606675996</v>
      </c>
      <c r="O7" s="83">
        <v>32.1723181342375</v>
      </c>
      <c r="P7" s="83">
        <v>32.628610432533407</v>
      </c>
      <c r="Q7" s="83">
        <v>33.162384077804006</v>
      </c>
      <c r="R7" s="83">
        <v>33.900000000000006</v>
      </c>
      <c r="S7" s="83">
        <v>34.567405305097694</v>
      </c>
    </row>
    <row r="8" spans="1:19">
      <c r="A8" s="21"/>
      <c r="B8" s="83"/>
      <c r="C8" s="83"/>
      <c r="D8" s="83"/>
      <c r="E8" s="83"/>
      <c r="F8" s="83"/>
      <c r="G8" s="83"/>
      <c r="H8" s="83"/>
      <c r="I8" s="83"/>
      <c r="J8" s="83"/>
      <c r="K8" s="83"/>
      <c r="L8" s="83"/>
      <c r="M8" s="83"/>
      <c r="N8" s="83"/>
      <c r="O8" s="83"/>
      <c r="P8" s="83"/>
      <c r="Q8" s="83"/>
      <c r="R8" s="83"/>
      <c r="S8" s="83"/>
    </row>
    <row r="9" spans="1:19">
      <c r="A9" s="19" t="s">
        <v>11</v>
      </c>
      <c r="B9" s="83"/>
      <c r="C9" s="83"/>
      <c r="D9" s="83"/>
      <c r="E9" s="83"/>
      <c r="F9" s="83"/>
      <c r="G9" s="83"/>
      <c r="H9" s="83"/>
      <c r="I9" s="83"/>
      <c r="J9" s="83"/>
      <c r="K9" s="83"/>
      <c r="L9" s="83"/>
      <c r="M9" s="83"/>
      <c r="N9" s="83"/>
      <c r="O9" s="83"/>
      <c r="P9" s="83"/>
      <c r="Q9" s="83"/>
      <c r="R9" s="83"/>
      <c r="S9" s="83"/>
    </row>
    <row r="10" spans="1:19">
      <c r="A10" s="21" t="s">
        <v>128</v>
      </c>
      <c r="B10" s="83">
        <v>61.4</v>
      </c>
      <c r="C10" s="83">
        <v>60.9</v>
      </c>
      <c r="D10" s="83">
        <v>61.3</v>
      </c>
      <c r="E10" s="83">
        <v>60.7</v>
      </c>
      <c r="F10" s="83">
        <v>60.3</v>
      </c>
      <c r="G10" s="83">
        <v>59.2</v>
      </c>
      <c r="H10" s="83">
        <v>58.8</v>
      </c>
      <c r="I10" s="83">
        <v>58.7</v>
      </c>
      <c r="J10" s="83">
        <v>57.8</v>
      </c>
      <c r="K10" s="83">
        <v>56.9</v>
      </c>
      <c r="L10" s="83">
        <v>57</v>
      </c>
      <c r="M10" s="83">
        <v>57.4</v>
      </c>
      <c r="N10" s="83">
        <v>58.3</v>
      </c>
      <c r="O10" s="83">
        <v>59</v>
      </c>
      <c r="P10" s="83">
        <v>60.3</v>
      </c>
      <c r="Q10" s="83">
        <v>60.9</v>
      </c>
      <c r="R10" s="83">
        <v>62.3</v>
      </c>
      <c r="S10" s="83">
        <v>63.3</v>
      </c>
    </row>
    <row r="11" spans="1:19">
      <c r="A11" s="21" t="s">
        <v>129</v>
      </c>
      <c r="B11" s="83">
        <v>34.799999999999997</v>
      </c>
      <c r="C11" s="83">
        <v>34.5</v>
      </c>
      <c r="D11" s="83">
        <v>33.900000000000006</v>
      </c>
      <c r="E11" s="83">
        <v>33.099999999999994</v>
      </c>
      <c r="F11" s="83">
        <v>32.799999999999997</v>
      </c>
      <c r="G11" s="83">
        <v>32.099999999999994</v>
      </c>
      <c r="H11" s="83">
        <v>31.799999999999997</v>
      </c>
      <c r="I11" s="83">
        <v>31.400000000000006</v>
      </c>
      <c r="J11" s="83">
        <v>31.700000000000003</v>
      </c>
      <c r="K11" s="83">
        <v>30.799999999999997</v>
      </c>
      <c r="L11" s="83">
        <v>30.700000000000003</v>
      </c>
      <c r="M11" s="83">
        <v>31.099999999999994</v>
      </c>
      <c r="N11" s="83">
        <v>32.200000000000003</v>
      </c>
      <c r="O11" s="83">
        <v>33</v>
      </c>
      <c r="P11" s="83">
        <v>33.799999999999997</v>
      </c>
      <c r="Q11" s="83">
        <v>35</v>
      </c>
      <c r="R11" s="83">
        <v>36.5</v>
      </c>
      <c r="S11" s="83">
        <v>38.6</v>
      </c>
    </row>
    <row r="12" spans="1:19">
      <c r="A12" s="21" t="s">
        <v>130</v>
      </c>
      <c r="B12" s="83">
        <v>24.799999999999997</v>
      </c>
      <c r="C12" s="83">
        <v>24.400000000000006</v>
      </c>
      <c r="D12" s="83">
        <v>24.200000000000003</v>
      </c>
      <c r="E12" s="83">
        <v>24.299999999999997</v>
      </c>
      <c r="F12" s="83">
        <v>24</v>
      </c>
      <c r="G12" s="83">
        <v>23.5</v>
      </c>
      <c r="H12" s="83">
        <v>23.299999999999997</v>
      </c>
      <c r="I12" s="83">
        <v>23.700000000000003</v>
      </c>
      <c r="J12" s="83">
        <v>23.400000000000006</v>
      </c>
      <c r="K12" s="83">
        <v>22.799999999999997</v>
      </c>
      <c r="L12" s="83">
        <v>23.400000000000006</v>
      </c>
      <c r="M12" s="83">
        <v>23.799999999999997</v>
      </c>
      <c r="N12" s="83">
        <v>24.599999999999994</v>
      </c>
      <c r="O12" s="83">
        <v>25</v>
      </c>
      <c r="P12" s="83">
        <v>25.599999999999994</v>
      </c>
      <c r="Q12" s="83">
        <v>26.5</v>
      </c>
      <c r="R12" s="83">
        <v>27.299999999999997</v>
      </c>
      <c r="S12" s="83">
        <v>28.299999999999997</v>
      </c>
    </row>
    <row r="13" spans="1:19">
      <c r="A13" s="21" t="s">
        <v>131</v>
      </c>
      <c r="B13" s="83">
        <v>20.5</v>
      </c>
      <c r="C13" s="83">
        <v>20</v>
      </c>
      <c r="D13" s="83">
        <v>19.900000000000006</v>
      </c>
      <c r="E13" s="83">
        <v>19.099999999999994</v>
      </c>
      <c r="F13" s="83">
        <v>19</v>
      </c>
      <c r="G13" s="83">
        <v>19.700000000000003</v>
      </c>
      <c r="H13" s="83">
        <v>18.700000000000003</v>
      </c>
      <c r="I13" s="83">
        <v>18.900000000000006</v>
      </c>
      <c r="J13" s="83">
        <v>18.599999999999994</v>
      </c>
      <c r="K13" s="83">
        <v>18.299999999999997</v>
      </c>
      <c r="L13" s="83">
        <v>18.799999999999997</v>
      </c>
      <c r="M13" s="83">
        <v>19.099999999999994</v>
      </c>
      <c r="N13" s="83">
        <v>19.400000000000006</v>
      </c>
      <c r="O13" s="83">
        <v>19.900000000000006</v>
      </c>
      <c r="P13" s="83">
        <v>20.5</v>
      </c>
      <c r="Q13" s="83">
        <v>21</v>
      </c>
      <c r="R13" s="83">
        <v>21.5</v>
      </c>
      <c r="S13" s="83">
        <v>22.700000000000003</v>
      </c>
    </row>
    <row r="14" spans="1:19">
      <c r="A14" s="21" t="s">
        <v>63</v>
      </c>
      <c r="B14" s="83">
        <v>78.099999999999994</v>
      </c>
      <c r="C14" s="83">
        <v>78.900000000000006</v>
      </c>
      <c r="D14" s="83">
        <v>79.099999999999994</v>
      </c>
      <c r="E14" s="83">
        <v>79.3</v>
      </c>
      <c r="F14" s="83">
        <v>80.099999999999994</v>
      </c>
      <c r="G14" s="83">
        <v>80.400000000000006</v>
      </c>
      <c r="H14" s="83">
        <v>80.3</v>
      </c>
      <c r="I14" s="83">
        <v>19.400000000000006</v>
      </c>
      <c r="J14" s="83">
        <v>19.5</v>
      </c>
      <c r="K14" s="83">
        <v>18.900000000000006</v>
      </c>
      <c r="L14" s="83">
        <v>19.400000000000006</v>
      </c>
      <c r="M14" s="83">
        <v>19.099999999999994</v>
      </c>
      <c r="N14" s="83">
        <v>19.599999999999994</v>
      </c>
      <c r="O14" s="83">
        <v>19.900000000000006</v>
      </c>
      <c r="P14" s="83">
        <v>19.5</v>
      </c>
      <c r="Q14" s="83">
        <v>19.5</v>
      </c>
      <c r="R14" s="83">
        <v>19.099999999999994</v>
      </c>
      <c r="S14" s="83">
        <v>18.900000000000006</v>
      </c>
    </row>
    <row r="15" spans="1:19">
      <c r="A15" s="21"/>
      <c r="B15" s="83"/>
      <c r="C15" s="83"/>
      <c r="D15" s="83"/>
      <c r="E15" s="83"/>
      <c r="F15" s="83"/>
      <c r="G15" s="83"/>
      <c r="H15" s="83"/>
      <c r="I15" s="83"/>
      <c r="J15" s="83"/>
      <c r="K15" s="83"/>
      <c r="L15" s="83"/>
      <c r="M15" s="83"/>
      <c r="N15" s="83"/>
      <c r="O15" s="83"/>
      <c r="P15" s="83"/>
      <c r="Q15" s="83"/>
      <c r="R15" s="83"/>
      <c r="S15" s="83"/>
    </row>
    <row r="16" spans="1:19">
      <c r="A16" s="19" t="s">
        <v>67</v>
      </c>
      <c r="B16" s="83"/>
      <c r="C16" s="83"/>
      <c r="D16" s="83"/>
      <c r="E16" s="83"/>
      <c r="F16" s="83"/>
      <c r="G16" s="83"/>
      <c r="H16" s="83"/>
      <c r="I16" s="83"/>
      <c r="J16" s="83"/>
      <c r="K16" s="83"/>
      <c r="L16" s="83"/>
      <c r="M16" s="83"/>
      <c r="N16" s="83"/>
      <c r="O16" s="83"/>
      <c r="P16" s="83"/>
      <c r="Q16" s="83"/>
      <c r="R16" s="83"/>
      <c r="S16" s="83"/>
    </row>
    <row r="17" spans="1:19">
      <c r="A17" s="21" t="s">
        <v>68</v>
      </c>
      <c r="B17" s="83">
        <v>29.100746148131407</v>
      </c>
      <c r="C17" s="83">
        <v>28.328411219185597</v>
      </c>
      <c r="D17" s="83">
        <v>28.035741290714896</v>
      </c>
      <c r="E17" s="83">
        <v>27.420451824059995</v>
      </c>
      <c r="F17" s="83">
        <v>26.806028227211897</v>
      </c>
      <c r="G17" s="83">
        <v>25.997028043883802</v>
      </c>
      <c r="H17" s="83">
        <v>25.742298234898001</v>
      </c>
      <c r="I17" s="83">
        <v>25.260191438705604</v>
      </c>
      <c r="J17" s="83">
        <v>24.632415406532203</v>
      </c>
      <c r="K17" s="83">
        <v>24.026543783594093</v>
      </c>
      <c r="L17" s="83">
        <v>24.175116483502293</v>
      </c>
      <c r="M17" s="83">
        <v>24.159154451986893</v>
      </c>
      <c r="N17" s="83">
        <v>24.753593691998503</v>
      </c>
      <c r="O17" s="83">
        <v>24.976387267887603</v>
      </c>
      <c r="P17" s="83">
        <v>25.223496158539106</v>
      </c>
      <c r="Q17" s="83">
        <v>25.558345818555395</v>
      </c>
      <c r="R17" s="83">
        <v>26.170454187285301</v>
      </c>
      <c r="S17" s="83">
        <v>26.458260454762296</v>
      </c>
    </row>
    <row r="18" spans="1:19">
      <c r="A18" s="21" t="s">
        <v>14</v>
      </c>
      <c r="B18" s="83">
        <v>57.9540446962543</v>
      </c>
      <c r="C18" s="83">
        <v>57.226224126926198</v>
      </c>
      <c r="D18" s="83">
        <v>56.746031746031697</v>
      </c>
      <c r="E18" s="83">
        <v>55.279328825163397</v>
      </c>
      <c r="F18" s="83">
        <v>54.476339925867798</v>
      </c>
      <c r="G18" s="83">
        <v>53.968253968253997</v>
      </c>
      <c r="H18" s="83">
        <v>52.711535515498099</v>
      </c>
      <c r="I18" s="83">
        <v>53.029794175502602</v>
      </c>
      <c r="J18" s="83">
        <v>53.313977226330401</v>
      </c>
      <c r="K18" s="83">
        <v>51.914722983358999</v>
      </c>
      <c r="L18" s="83">
        <v>50.487888384832701</v>
      </c>
      <c r="M18" s="83">
        <v>50.344657297475301</v>
      </c>
      <c r="N18" s="83">
        <v>50.346635942869597</v>
      </c>
      <c r="O18" s="83">
        <v>50.865159781761498</v>
      </c>
      <c r="P18" s="83">
        <v>51.556669116327399</v>
      </c>
      <c r="Q18" s="83">
        <v>52.492236143478898</v>
      </c>
      <c r="R18" s="83">
        <v>53.092019996296997</v>
      </c>
      <c r="S18" s="83">
        <v>53.875193932080698</v>
      </c>
    </row>
    <row r="19" spans="1:19">
      <c r="A19" s="21" t="s">
        <v>69</v>
      </c>
      <c r="B19" s="83">
        <v>57.0641314178743</v>
      </c>
      <c r="C19" s="83">
        <v>55.513260269388397</v>
      </c>
      <c r="D19" s="83">
        <v>54.646855449456702</v>
      </c>
      <c r="E19" s="83">
        <v>53.863303139247598</v>
      </c>
      <c r="F19" s="83">
        <v>53.256614999217199</v>
      </c>
      <c r="G19" s="83">
        <v>52.772281069336103</v>
      </c>
      <c r="H19" s="83">
        <v>51.602055828349798</v>
      </c>
      <c r="I19" s="83">
        <v>51.784541274359498</v>
      </c>
      <c r="J19" s="83">
        <v>51.1948858883977</v>
      </c>
      <c r="K19" s="83">
        <v>50.303647690318499</v>
      </c>
      <c r="L19" s="83">
        <v>51.236749116607797</v>
      </c>
      <c r="M19" s="83">
        <v>51.630516928657798</v>
      </c>
      <c r="N19" s="83">
        <v>52.208513493365103</v>
      </c>
      <c r="O19" s="83">
        <v>52.105464550573103</v>
      </c>
      <c r="P19" s="83">
        <v>53.374917848121399</v>
      </c>
      <c r="Q19" s="83">
        <v>54.140578988968798</v>
      </c>
      <c r="R19" s="83">
        <v>54.617325184764098</v>
      </c>
      <c r="S19" s="83">
        <v>55.409556617007297</v>
      </c>
    </row>
    <row r="20" spans="1:19">
      <c r="A20" s="21" t="s">
        <v>70</v>
      </c>
      <c r="B20" s="83">
        <v>48.464534831053498</v>
      </c>
      <c r="C20" s="83">
        <v>48.504652980038401</v>
      </c>
      <c r="D20" s="83">
        <v>46.684563758389302</v>
      </c>
      <c r="E20" s="83">
        <v>46.285088848828202</v>
      </c>
      <c r="F20" s="83">
        <v>45.921732097305998</v>
      </c>
      <c r="G20" s="83">
        <v>45.684723067559403</v>
      </c>
      <c r="H20" s="83">
        <v>45.312048123083997</v>
      </c>
      <c r="I20" s="83">
        <v>44.977893368010399</v>
      </c>
      <c r="J20" s="83">
        <v>43.0718625793778</v>
      </c>
      <c r="K20" s="83">
        <v>40.251101321585899</v>
      </c>
      <c r="L20" s="83">
        <v>39.7164926576691</v>
      </c>
      <c r="M20" s="83">
        <v>39.158495718009199</v>
      </c>
      <c r="N20" s="83">
        <v>39.939357186173403</v>
      </c>
      <c r="O20" s="83">
        <v>40.545949407620903</v>
      </c>
      <c r="P20" s="83">
        <v>40.9593578804079</v>
      </c>
      <c r="Q20" s="83">
        <v>41.800093269081302</v>
      </c>
      <c r="R20" s="83">
        <v>42.620544284262401</v>
      </c>
      <c r="S20" s="83">
        <v>43.307597704290799</v>
      </c>
    </row>
    <row r="21" spans="1:19">
      <c r="A21" s="21" t="s">
        <v>132</v>
      </c>
      <c r="B21" s="83">
        <v>56.326367982999798</v>
      </c>
      <c r="C21" s="83">
        <v>55.066990188838503</v>
      </c>
      <c r="D21" s="83">
        <v>54.175848841005603</v>
      </c>
      <c r="E21" s="83">
        <v>53.197305863708401</v>
      </c>
      <c r="F21" s="83">
        <v>52.557380197829602</v>
      </c>
      <c r="G21" s="83">
        <v>52.100999036845401</v>
      </c>
      <c r="H21" s="83">
        <v>51.001893486773199</v>
      </c>
      <c r="I21" s="83">
        <v>51.0742433512074</v>
      </c>
      <c r="J21" s="83">
        <v>50.468633003124197</v>
      </c>
      <c r="K21" s="83">
        <v>48.989758502971299</v>
      </c>
      <c r="L21" s="83">
        <v>48.7324910514359</v>
      </c>
      <c r="M21" s="83">
        <v>48.735063405941197</v>
      </c>
      <c r="N21" s="83">
        <v>49.122984184196604</v>
      </c>
      <c r="O21" s="83">
        <v>49.418759766741601</v>
      </c>
      <c r="P21" s="83">
        <v>50.276971847155103</v>
      </c>
      <c r="Q21" s="83">
        <v>51.107213095287101</v>
      </c>
      <c r="R21" s="83">
        <v>51.686698571585097</v>
      </c>
      <c r="S21" s="83">
        <v>52.322787763146003</v>
      </c>
    </row>
    <row r="22" spans="1:19">
      <c r="A22" s="21"/>
      <c r="B22" s="83"/>
      <c r="C22" s="83"/>
      <c r="D22" s="83"/>
      <c r="E22" s="83"/>
      <c r="F22" s="83"/>
      <c r="G22" s="83"/>
      <c r="H22" s="83"/>
      <c r="I22" s="83"/>
      <c r="J22" s="83"/>
      <c r="K22" s="83"/>
      <c r="L22" s="83"/>
      <c r="M22" s="83"/>
      <c r="N22" s="83"/>
      <c r="O22" s="83"/>
      <c r="P22" s="83"/>
      <c r="Q22" s="83"/>
      <c r="R22" s="83"/>
      <c r="S22" s="83"/>
    </row>
    <row r="23" spans="1:19">
      <c r="A23" s="19" t="s">
        <v>133</v>
      </c>
      <c r="B23" s="83"/>
      <c r="C23" s="83"/>
      <c r="D23" s="83"/>
      <c r="E23" s="83"/>
      <c r="F23" s="83"/>
      <c r="G23" s="83"/>
      <c r="H23" s="83"/>
      <c r="I23" s="83"/>
      <c r="J23" s="83"/>
      <c r="K23" s="83"/>
      <c r="L23" s="83"/>
      <c r="M23" s="83"/>
      <c r="N23" s="83"/>
      <c r="O23" s="83"/>
      <c r="P23" s="83"/>
      <c r="Q23" s="83"/>
      <c r="R23" s="83"/>
      <c r="S23" s="83"/>
    </row>
    <row r="24" spans="1:19">
      <c r="A24" s="21" t="s">
        <v>37</v>
      </c>
      <c r="B24" s="83">
        <v>38</v>
      </c>
      <c r="C24" s="83">
        <v>37.799999999999997</v>
      </c>
      <c r="D24" s="83">
        <v>37.575000000000003</v>
      </c>
      <c r="E24" s="83">
        <v>37.375</v>
      </c>
      <c r="F24" s="83">
        <v>36.924999999999997</v>
      </c>
      <c r="G24" s="83">
        <v>36.549999999999997</v>
      </c>
      <c r="H24" s="83">
        <v>36.274999999999999</v>
      </c>
      <c r="I24" s="83">
        <v>35.75</v>
      </c>
      <c r="J24" s="83">
        <v>35.625</v>
      </c>
      <c r="K24" s="83">
        <v>34.974999999999994</v>
      </c>
      <c r="L24" s="83">
        <v>34.849999999999994</v>
      </c>
      <c r="M24" s="83">
        <v>34.775000000000006</v>
      </c>
      <c r="N24" s="83">
        <v>35</v>
      </c>
      <c r="O24" s="83">
        <v>35.400000000000006</v>
      </c>
      <c r="P24" s="83">
        <v>36.024999999999999</v>
      </c>
      <c r="Q24" s="83">
        <v>35.900000000000006</v>
      </c>
      <c r="R24" s="83">
        <v>36.4</v>
      </c>
      <c r="S24" s="83">
        <v>36.5</v>
      </c>
    </row>
    <row r="25" spans="1:19">
      <c r="A25" s="21" t="s">
        <v>38</v>
      </c>
      <c r="B25" s="83">
        <v>30.849999999999994</v>
      </c>
      <c r="C25" s="83">
        <v>29.400000000000006</v>
      </c>
      <c r="D25" s="83">
        <v>29.5</v>
      </c>
      <c r="E25" s="83">
        <v>28.900000000000006</v>
      </c>
      <c r="F25" s="83">
        <v>28.299999999999997</v>
      </c>
      <c r="G25" s="83">
        <v>27.400000000000006</v>
      </c>
      <c r="H25" s="83">
        <v>26.924999999999997</v>
      </c>
      <c r="I25" s="83">
        <v>26.875</v>
      </c>
      <c r="J25" s="83">
        <v>26.825000000000003</v>
      </c>
      <c r="K25" s="83">
        <v>26.200000000000003</v>
      </c>
      <c r="L25" s="83">
        <v>26.900000000000006</v>
      </c>
      <c r="M25" s="83">
        <v>27.299999999999997</v>
      </c>
      <c r="N25" s="83">
        <v>28.099999999999994</v>
      </c>
      <c r="O25" s="83">
        <v>28.299999999999997</v>
      </c>
      <c r="P25" s="83">
        <v>28.974999999999994</v>
      </c>
      <c r="Q25" s="83">
        <v>29.200000000000003</v>
      </c>
      <c r="R25" s="83">
        <v>29.799999999999997</v>
      </c>
      <c r="S25" s="83">
        <v>30.400000000000006</v>
      </c>
    </row>
    <row r="26" spans="1:19">
      <c r="A26" s="21" t="s">
        <v>39</v>
      </c>
      <c r="B26" s="83">
        <v>33.325000000000003</v>
      </c>
      <c r="C26" s="83">
        <v>32.549999999999997</v>
      </c>
      <c r="D26" s="83">
        <v>32.025000000000006</v>
      </c>
      <c r="E26" s="83">
        <v>31.400000000000006</v>
      </c>
      <c r="F26" s="83">
        <v>30.875</v>
      </c>
      <c r="G26" s="83">
        <v>30.450000000000003</v>
      </c>
      <c r="H26" s="83">
        <v>30.200000000000003</v>
      </c>
      <c r="I26" s="83">
        <v>30.275000000000006</v>
      </c>
      <c r="J26" s="83">
        <v>29.924999999999997</v>
      </c>
      <c r="K26" s="83">
        <v>29.075000000000003</v>
      </c>
      <c r="L26" s="83">
        <v>29.200000000000003</v>
      </c>
      <c r="M26" s="83">
        <v>29.5</v>
      </c>
      <c r="N26" s="83">
        <v>29.900000000000006</v>
      </c>
      <c r="O26" s="83">
        <v>30.099999999999994</v>
      </c>
      <c r="P26" s="83">
        <v>30.400000000000006</v>
      </c>
      <c r="Q26" s="83">
        <v>31</v>
      </c>
      <c r="R26" s="83">
        <v>31.700000000000003</v>
      </c>
      <c r="S26" s="83">
        <v>32.799999999999997</v>
      </c>
    </row>
    <row r="27" spans="1:19">
      <c r="A27" s="21" t="s">
        <v>40</v>
      </c>
      <c r="B27" s="83">
        <v>40.799999999999997</v>
      </c>
      <c r="C27" s="83">
        <v>40.799999999999997</v>
      </c>
      <c r="D27" s="83">
        <v>40.375</v>
      </c>
      <c r="E27" s="83">
        <v>39.524999999999999</v>
      </c>
      <c r="F27" s="83">
        <v>39.075000000000003</v>
      </c>
      <c r="G27" s="83">
        <v>38.299999999999997</v>
      </c>
      <c r="H27" s="83">
        <v>37.424999999999997</v>
      </c>
      <c r="I27" s="83">
        <v>37.501578000000002</v>
      </c>
      <c r="J27" s="83">
        <v>36.6</v>
      </c>
      <c r="K27" s="83">
        <v>35.799999999999997</v>
      </c>
      <c r="L27" s="83">
        <v>35.625</v>
      </c>
      <c r="M27" s="83">
        <v>35.275000000000006</v>
      </c>
      <c r="N27" s="83">
        <v>36.524999999999999</v>
      </c>
      <c r="O27" s="83">
        <v>37</v>
      </c>
      <c r="P27" s="83">
        <v>37.424999999999997</v>
      </c>
      <c r="Q27" s="83">
        <v>38.6</v>
      </c>
      <c r="R27" s="83">
        <v>39.5</v>
      </c>
      <c r="S27" s="83">
        <v>40.200000000000003</v>
      </c>
    </row>
    <row r="29" spans="1:19" ht="15" customHeight="1">
      <c r="A29" s="333" t="s">
        <v>134</v>
      </c>
      <c r="B29" s="333"/>
      <c r="C29" s="333"/>
      <c r="D29" s="333"/>
      <c r="E29" s="333"/>
      <c r="F29" s="333"/>
      <c r="G29" s="333"/>
      <c r="H29" s="333"/>
      <c r="I29" s="333"/>
      <c r="J29" s="333"/>
      <c r="K29" s="333"/>
      <c r="L29" s="333"/>
      <c r="M29" s="333"/>
      <c r="N29" s="333"/>
      <c r="O29" s="98"/>
      <c r="P29" s="98"/>
      <c r="Q29" s="98"/>
      <c r="R29" s="98"/>
      <c r="S29" s="98"/>
    </row>
    <row r="30" spans="1:19">
      <c r="A30" s="333"/>
      <c r="B30" s="333"/>
      <c r="C30" s="333"/>
      <c r="D30" s="333"/>
      <c r="E30" s="333"/>
      <c r="F30" s="333"/>
      <c r="G30" s="333"/>
      <c r="H30" s="333"/>
      <c r="I30" s="333"/>
      <c r="J30" s="333"/>
      <c r="K30" s="333"/>
      <c r="L30" s="333"/>
      <c r="M30" s="333"/>
      <c r="N30" s="333"/>
      <c r="O30" s="98"/>
      <c r="P30" s="98"/>
      <c r="Q30" s="98"/>
      <c r="R30" s="98"/>
      <c r="S30" s="98"/>
    </row>
    <row r="31" spans="1:19" ht="15" customHeight="1">
      <c r="A31" s="333"/>
      <c r="B31" s="333"/>
      <c r="C31" s="333"/>
      <c r="D31" s="333"/>
      <c r="E31" s="333"/>
      <c r="F31" s="333"/>
      <c r="G31" s="333"/>
      <c r="H31" s="333"/>
      <c r="I31" s="333"/>
      <c r="J31" s="333"/>
      <c r="K31" s="333"/>
      <c r="L31" s="333"/>
      <c r="M31" s="333"/>
      <c r="N31" s="333"/>
      <c r="O31" s="98"/>
      <c r="P31" s="98"/>
      <c r="Q31" s="98"/>
      <c r="R31" s="98"/>
      <c r="S31" s="98"/>
    </row>
    <row r="32" spans="1:19">
      <c r="A32" s="10"/>
      <c r="B32" s="10"/>
      <c r="C32" s="10"/>
      <c r="D32" s="10"/>
      <c r="E32" s="10"/>
      <c r="F32" s="10"/>
      <c r="G32" s="10"/>
      <c r="H32" s="10"/>
      <c r="I32" s="10"/>
      <c r="J32" s="10"/>
      <c r="K32" s="10"/>
      <c r="L32" s="10"/>
      <c r="M32" s="10"/>
      <c r="N32" s="10"/>
      <c r="O32" s="98"/>
      <c r="P32" s="98"/>
      <c r="Q32" s="98"/>
      <c r="R32" s="98"/>
      <c r="S32" s="98"/>
    </row>
    <row r="33" spans="1:1">
      <c r="A33" t="s">
        <v>135</v>
      </c>
    </row>
  </sheetData>
  <mergeCells count="1">
    <mergeCell ref="A29:N31"/>
  </mergeCell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8</vt:i4>
      </vt:variant>
    </vt:vector>
  </HeadingPairs>
  <TitlesOfParts>
    <vt:vector size="26" baseType="lpstr">
      <vt:lpstr>AppendixTables</vt:lpstr>
      <vt:lpstr>A-1</vt:lpstr>
      <vt:lpstr>A-2</vt:lpstr>
      <vt:lpstr>A-3</vt:lpstr>
      <vt:lpstr>A-4</vt:lpstr>
      <vt:lpstr>A-5</vt:lpstr>
      <vt:lpstr>A-6</vt:lpstr>
      <vt:lpstr>A-7</vt:lpstr>
      <vt:lpstr>W-1</vt:lpstr>
      <vt:lpstr>W-2</vt:lpstr>
      <vt:lpstr>W-3</vt:lpstr>
      <vt:lpstr>W-4</vt:lpstr>
      <vt:lpstr>W-5</vt:lpstr>
      <vt:lpstr>W-6</vt:lpstr>
      <vt:lpstr>W-7</vt:lpstr>
      <vt:lpstr>W-8</vt:lpstr>
      <vt:lpstr>W-9</vt:lpstr>
      <vt:lpstr>W-10</vt:lpstr>
      <vt:lpstr>'A-1'!Print_Area</vt:lpstr>
      <vt:lpstr>'A-2'!Print_Area</vt:lpstr>
      <vt:lpstr>'A-3'!Print_Area</vt:lpstr>
      <vt:lpstr>'A-4'!Print_Area</vt:lpstr>
      <vt:lpstr>'A-5'!Print_Area</vt:lpstr>
      <vt:lpstr>'A-6'!Print_Area</vt:lpstr>
      <vt:lpstr>AppendixTables!Print_Area</vt:lpstr>
      <vt:lpstr>'W-10'!Print_Area</vt:lpstr>
    </vt:vector>
  </TitlesOfParts>
  <Company>HUIT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Irene Lew</dc:creator>
  <cp:lastModifiedBy>Donahue, Kerry E</cp:lastModifiedBy>
  <cp:lastPrinted>2013-11-20T17:10:25Z</cp:lastPrinted>
  <dcterms:created xsi:type="dcterms:W3CDTF">2013-11-01T14:06:40Z</dcterms:created>
  <dcterms:modified xsi:type="dcterms:W3CDTF">2013-12-13T16:39:01Z</dcterms:modified>
</cp:coreProperties>
</file>