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1075" windowHeight="10365"/>
  </bookViews>
  <sheets>
    <sheet name="Contents" sheetId="6" r:id="rId1"/>
    <sheet name="A-1" sheetId="10" r:id="rId2"/>
    <sheet name="A-2" sheetId="9" r:id="rId3"/>
    <sheet name="A-3" sheetId="13" r:id="rId4"/>
    <sheet name="A-4" sheetId="12" r:id="rId5"/>
    <sheet name="A-5" sheetId="14" r:id="rId6"/>
    <sheet name="A-6" sheetId="1" r:id="rId7"/>
    <sheet name="A-7" sheetId="2" r:id="rId8"/>
    <sheet name="A-8" sheetId="4" r:id="rId9"/>
    <sheet name="A-9" sheetId="11" r:id="rId10"/>
    <sheet name="A-10" sheetId="15" r:id="rId11"/>
    <sheet name="A-11" sheetId="16" r:id="rId12"/>
    <sheet name="A-12" sheetId="18" r:id="rId13"/>
    <sheet name="A-13" sheetId="19" r:id="rId14"/>
    <sheet name="A-14" sheetId="20" r:id="rId15"/>
    <sheet name="A-15" sheetId="7" r:id="rId16"/>
    <sheet name="A-16" sheetId="17" r:id="rId17"/>
    <sheet name="A-17" sheetId="8" r:id="rId18"/>
  </sheets>
  <calcPr calcId="145621" concurrentCalc="0"/>
</workbook>
</file>

<file path=xl/calcChain.xml><?xml version="1.0" encoding="utf-8"?>
<calcChain xmlns="http://schemas.openxmlformats.org/spreadsheetml/2006/main">
  <c r="D31" i="1" l="1"/>
  <c r="E31" i="1"/>
  <c r="E19" i="2"/>
  <c r="D19" i="2"/>
  <c r="C19" i="2"/>
  <c r="B19" i="2"/>
  <c r="E18" i="2"/>
  <c r="D18" i="2"/>
  <c r="C18" i="2"/>
  <c r="B18" i="2"/>
  <c r="E17" i="2"/>
  <c r="D17" i="2"/>
  <c r="C17" i="2"/>
  <c r="B17" i="2"/>
  <c r="E16" i="2"/>
  <c r="D16" i="2"/>
  <c r="C16" i="2"/>
  <c r="B16" i="2"/>
  <c r="E15" i="2"/>
  <c r="D15" i="2"/>
  <c r="C15" i="2"/>
  <c r="B15" i="2"/>
  <c r="E14" i="2"/>
  <c r="D14" i="2"/>
  <c r="C14" i="2"/>
  <c r="B14" i="2"/>
  <c r="E12" i="2"/>
  <c r="D12" i="2"/>
  <c r="C12" i="2"/>
  <c r="B12" i="2"/>
  <c r="E11" i="2"/>
  <c r="D11" i="2"/>
  <c r="C11" i="2"/>
  <c r="B11" i="2"/>
  <c r="E10" i="2"/>
  <c r="D10" i="2"/>
  <c r="C10" i="2"/>
  <c r="B10" i="2"/>
  <c r="E9" i="2"/>
  <c r="D9" i="2"/>
  <c r="C9" i="2"/>
  <c r="B9" i="2"/>
  <c r="E8" i="2"/>
  <c r="D8" i="2"/>
  <c r="C8" i="2"/>
  <c r="B8" i="2"/>
  <c r="E7" i="2"/>
  <c r="D7" i="2"/>
  <c r="C7" i="2"/>
  <c r="B7" i="2"/>
  <c r="J37" i="1"/>
  <c r="J36" i="1"/>
  <c r="J35" i="1"/>
  <c r="J34" i="1"/>
  <c r="J32" i="1"/>
  <c r="J31" i="1"/>
  <c r="J30" i="1"/>
  <c r="J28" i="1"/>
  <c r="J27" i="1"/>
  <c r="J26" i="1"/>
  <c r="J24" i="1"/>
  <c r="J23" i="1"/>
  <c r="J22" i="1"/>
  <c r="J21" i="1"/>
  <c r="J19" i="1"/>
  <c r="J18" i="1"/>
  <c r="J17" i="1"/>
  <c r="J16" i="1"/>
  <c r="J15" i="1"/>
  <c r="J13" i="1"/>
  <c r="J12" i="1"/>
  <c r="J11" i="1"/>
  <c r="J10" i="1"/>
  <c r="J9" i="1"/>
  <c r="J8" i="1"/>
  <c r="J6" i="1"/>
  <c r="I37" i="1"/>
  <c r="H37" i="1"/>
  <c r="G37" i="1"/>
  <c r="F37" i="1"/>
  <c r="E37" i="1"/>
  <c r="D37" i="1"/>
  <c r="C37" i="1"/>
  <c r="B37" i="1"/>
  <c r="I36" i="1"/>
  <c r="H36" i="1"/>
  <c r="G36" i="1"/>
  <c r="F36" i="1"/>
  <c r="E36" i="1"/>
  <c r="D36" i="1"/>
  <c r="C36" i="1"/>
  <c r="B36" i="1"/>
  <c r="I35" i="1"/>
  <c r="H35" i="1"/>
  <c r="G35" i="1"/>
  <c r="F35" i="1"/>
  <c r="E35" i="1"/>
  <c r="D35" i="1"/>
  <c r="C35" i="1"/>
  <c r="B35" i="1"/>
  <c r="I34" i="1"/>
  <c r="H34" i="1"/>
  <c r="G34" i="1"/>
  <c r="F34" i="1"/>
  <c r="E34" i="1"/>
  <c r="D34" i="1"/>
  <c r="C34" i="1"/>
  <c r="B34" i="1"/>
  <c r="I32" i="1"/>
  <c r="H32" i="1"/>
  <c r="G32" i="1"/>
  <c r="F32" i="1"/>
  <c r="E32" i="1"/>
  <c r="D32" i="1"/>
  <c r="C32" i="1"/>
  <c r="B32" i="1"/>
  <c r="I31" i="1"/>
  <c r="H31" i="1"/>
  <c r="G31" i="1"/>
  <c r="F31" i="1"/>
  <c r="C31" i="1"/>
  <c r="B31" i="1"/>
  <c r="I30" i="1"/>
  <c r="H30" i="1"/>
  <c r="G30" i="1"/>
  <c r="F30" i="1"/>
  <c r="E30" i="1"/>
  <c r="D30" i="1"/>
  <c r="C30" i="1"/>
  <c r="B30" i="1"/>
  <c r="I28" i="1"/>
  <c r="H28" i="1"/>
  <c r="G28" i="1"/>
  <c r="F28" i="1"/>
  <c r="E28" i="1"/>
  <c r="D28" i="1"/>
  <c r="C28" i="1"/>
  <c r="B28" i="1"/>
  <c r="I27" i="1"/>
  <c r="H27" i="1"/>
  <c r="G27" i="1"/>
  <c r="F27" i="1"/>
  <c r="E27" i="1"/>
  <c r="D27" i="1"/>
  <c r="C27" i="1"/>
  <c r="B27" i="1"/>
  <c r="I26" i="1"/>
  <c r="H26" i="1"/>
  <c r="G26" i="1"/>
  <c r="F26" i="1"/>
  <c r="E26" i="1"/>
  <c r="D26" i="1"/>
  <c r="C26" i="1"/>
  <c r="B26" i="1"/>
  <c r="I24" i="1"/>
  <c r="H24" i="1"/>
  <c r="G24" i="1"/>
  <c r="F24" i="1"/>
  <c r="E24" i="1"/>
  <c r="D24" i="1"/>
  <c r="C24" i="1"/>
  <c r="B24" i="1"/>
  <c r="I23" i="1"/>
  <c r="H23" i="1"/>
  <c r="G23" i="1"/>
  <c r="F23" i="1"/>
  <c r="E23" i="1"/>
  <c r="D23" i="1"/>
  <c r="C23" i="1"/>
  <c r="B23" i="1"/>
  <c r="I22" i="1"/>
  <c r="H22" i="1"/>
  <c r="G22" i="1"/>
  <c r="F22" i="1"/>
  <c r="E22" i="1"/>
  <c r="D22" i="1"/>
  <c r="C22" i="1"/>
  <c r="B22" i="1"/>
  <c r="I21" i="1"/>
  <c r="H21" i="1"/>
  <c r="G21" i="1"/>
  <c r="F21" i="1"/>
  <c r="E21" i="1"/>
  <c r="D21" i="1"/>
  <c r="C21" i="1"/>
  <c r="B21" i="1"/>
  <c r="I19" i="1"/>
  <c r="H19" i="1"/>
  <c r="G19" i="1"/>
  <c r="F19" i="1"/>
  <c r="E19" i="1"/>
  <c r="D19" i="1"/>
  <c r="C19" i="1"/>
  <c r="B19" i="1"/>
  <c r="I18" i="1"/>
  <c r="H18" i="1"/>
  <c r="G18" i="1"/>
  <c r="F18" i="1"/>
  <c r="E18" i="1"/>
  <c r="D18" i="1"/>
  <c r="C18" i="1"/>
  <c r="B18" i="1"/>
  <c r="I17" i="1"/>
  <c r="H17" i="1"/>
  <c r="G17" i="1"/>
  <c r="F17" i="1"/>
  <c r="E17" i="1"/>
  <c r="D17" i="1"/>
  <c r="C17" i="1"/>
  <c r="B17" i="1"/>
  <c r="I16" i="1"/>
  <c r="H16" i="1"/>
  <c r="G16" i="1"/>
  <c r="F16" i="1"/>
  <c r="E16" i="1"/>
  <c r="D16" i="1"/>
  <c r="C16" i="1"/>
  <c r="B16" i="1"/>
  <c r="I15" i="1"/>
  <c r="H15" i="1"/>
  <c r="G15" i="1"/>
  <c r="F15" i="1"/>
  <c r="E15" i="1"/>
  <c r="D15" i="1"/>
  <c r="C15" i="1"/>
  <c r="B15" i="1"/>
  <c r="I13" i="1"/>
  <c r="H13" i="1"/>
  <c r="G13" i="1"/>
  <c r="F13" i="1"/>
  <c r="E13" i="1"/>
  <c r="D13" i="1"/>
  <c r="C13" i="1"/>
  <c r="B13" i="1"/>
  <c r="I12" i="1"/>
  <c r="H12" i="1"/>
  <c r="G12" i="1"/>
  <c r="F12" i="1"/>
  <c r="E12" i="1"/>
  <c r="D12" i="1"/>
  <c r="C12" i="1"/>
  <c r="B12" i="1"/>
  <c r="I11" i="1"/>
  <c r="H11" i="1"/>
  <c r="G11" i="1"/>
  <c r="F11" i="1"/>
  <c r="E11" i="1"/>
  <c r="D11" i="1"/>
  <c r="C11" i="1"/>
  <c r="B11" i="1"/>
  <c r="I10" i="1"/>
  <c r="H10" i="1"/>
  <c r="G10" i="1"/>
  <c r="F10" i="1"/>
  <c r="E10" i="1"/>
  <c r="D10" i="1"/>
  <c r="C10" i="1"/>
  <c r="B10" i="1"/>
  <c r="I9" i="1"/>
  <c r="H9" i="1"/>
  <c r="G9" i="1"/>
  <c r="F9" i="1"/>
  <c r="E9" i="1"/>
  <c r="D9" i="1"/>
  <c r="C9" i="1"/>
  <c r="B9" i="1"/>
  <c r="I8" i="1"/>
  <c r="H8" i="1"/>
  <c r="G8" i="1"/>
  <c r="F8" i="1"/>
  <c r="E8" i="1"/>
  <c r="D8" i="1"/>
  <c r="C8" i="1"/>
  <c r="B8" i="1"/>
  <c r="I6" i="1"/>
  <c r="H6" i="1"/>
  <c r="G6" i="1"/>
  <c r="F6" i="1"/>
  <c r="E6" i="1"/>
  <c r="D6" i="1"/>
  <c r="C6" i="1"/>
  <c r="B6" i="1"/>
</calcChain>
</file>

<file path=xl/sharedStrings.xml><?xml version="1.0" encoding="utf-8"?>
<sst xmlns="http://schemas.openxmlformats.org/spreadsheetml/2006/main" count="1357" uniqueCount="731">
  <si>
    <t>Tenure</t>
  </si>
  <si>
    <t>Under 50</t>
  </si>
  <si>
    <t>50-64</t>
  </si>
  <si>
    <t>65-79</t>
  </si>
  <si>
    <t>Total</t>
  </si>
  <si>
    <t>Structure Type</t>
  </si>
  <si>
    <t>Mobile Home</t>
  </si>
  <si>
    <t>1940-1959</t>
  </si>
  <si>
    <t>1960-1979</t>
  </si>
  <si>
    <t>1980-1999</t>
  </si>
  <si>
    <t>2000 and later</t>
  </si>
  <si>
    <t>Region</t>
  </si>
  <si>
    <t>Northeast</t>
  </si>
  <si>
    <t>Midwest</t>
  </si>
  <si>
    <t>South</t>
  </si>
  <si>
    <t>West</t>
  </si>
  <si>
    <t>Metro</t>
  </si>
  <si>
    <t>Central City</t>
  </si>
  <si>
    <t>Adequacy</t>
  </si>
  <si>
    <t>Adequate</t>
  </si>
  <si>
    <t>Moderately Inadequate</t>
  </si>
  <si>
    <t>Severely Inadequate</t>
  </si>
  <si>
    <t>$400-799</t>
  </si>
  <si>
    <t>Less than $400</t>
  </si>
  <si>
    <t>Occupied Rental Units (Thousands)</t>
  </si>
  <si>
    <t>Low Cost</t>
  </si>
  <si>
    <t>All</t>
  </si>
  <si>
    <t>No Step Entry</t>
  </si>
  <si>
    <t>Single Floor Living</t>
  </si>
  <si>
    <t>Extra Wide Halls/Doors</t>
  </si>
  <si>
    <t>Accessible Electrical</t>
  </si>
  <si>
    <t>Handles, not Knobs</t>
  </si>
  <si>
    <t>Single-Family, Detached</t>
  </si>
  <si>
    <t>Single-Family, Attached</t>
  </si>
  <si>
    <t>Source: JCHS tabulations of HUD, 2011 American Housing Survey.</t>
  </si>
  <si>
    <t>Multi-Family, 2-4 Units</t>
  </si>
  <si>
    <t>Multi-Family, 5-9 Units</t>
  </si>
  <si>
    <t>Multi-Family, 10 or More Units</t>
  </si>
  <si>
    <t>Year Built</t>
  </si>
  <si>
    <t>Suburbs</t>
  </si>
  <si>
    <t>Non-Metro</t>
  </si>
  <si>
    <t>$1,200 or More</t>
  </si>
  <si>
    <t>$800-1,199</t>
  </si>
  <si>
    <t>Pre-1940</t>
  </si>
  <si>
    <t>Renters</t>
  </si>
  <si>
    <t>Owners</t>
  </si>
  <si>
    <t>Occupied Units (Thousands)</t>
  </si>
  <si>
    <t>80 and Over</t>
  </si>
  <si>
    <t>Monthly Housing Costs</t>
  </si>
  <si>
    <t>Rental Assistance</t>
  </si>
  <si>
    <t>Without Rental Assistance</t>
  </si>
  <si>
    <t>With Rental Assistance</t>
  </si>
  <si>
    <t>Notes: Monthly costs are for those without assistance.</t>
  </si>
  <si>
    <t>Single Family, Detached</t>
  </si>
  <si>
    <t>Single Family, Attached</t>
  </si>
  <si>
    <t>Multifamily, 2-4 Units</t>
  </si>
  <si>
    <t>Multifamily, 5-9 Units</t>
  </si>
  <si>
    <t>Multifamily, 10 or more Units</t>
  </si>
  <si>
    <t>With Assistance</t>
  </si>
  <si>
    <t>Without Assistance</t>
  </si>
  <si>
    <t>2010 Dollars</t>
  </si>
  <si>
    <t>All Households Aged 50 and Over</t>
  </si>
  <si>
    <t>Savings Bonds</t>
  </si>
  <si>
    <t>Share with Retirement Accounts (Percent)</t>
  </si>
  <si>
    <t>Share with Stocks (Percent)</t>
  </si>
  <si>
    <t>Share with Cash Savings (Percent)</t>
  </si>
  <si>
    <t>Share with Cash Life Insurance Policy Holdings (Percent)</t>
  </si>
  <si>
    <t>Share with Savings Bonds (Percent)</t>
  </si>
  <si>
    <t>Income Quartile</t>
  </si>
  <si>
    <t>Bottom</t>
  </si>
  <si>
    <t>Lower Middle</t>
  </si>
  <si>
    <t>Upper Middle</t>
  </si>
  <si>
    <t>Top</t>
  </si>
  <si>
    <t>Hispanic</t>
  </si>
  <si>
    <t>Other</t>
  </si>
  <si>
    <t>Table A-1</t>
  </si>
  <si>
    <t>Table A-2</t>
  </si>
  <si>
    <t>Table A-3</t>
  </si>
  <si>
    <t>Table A-4</t>
  </si>
  <si>
    <t>Table A-5</t>
  </si>
  <si>
    <t>Table A-6</t>
  </si>
  <si>
    <t>Appendix Tables</t>
  </si>
  <si>
    <t>Median Net Worth and Asset Holdings of Households Aged 50 and Over, by Tenure, Income Quartile and Race/Ethnicity: 2010</t>
  </si>
  <si>
    <t>Characteristics of Stock Occupied by Older Adults: 2011</t>
  </si>
  <si>
    <t>Table A-7</t>
  </si>
  <si>
    <t>Characteristics of Assisted Stock Occupied by Older Renters: 2011</t>
  </si>
  <si>
    <t>Universal Design Features by Stock Characteristics: 2011</t>
  </si>
  <si>
    <t>Notes: Includes only units occupied by a head of household who is 50 or older.  Low-cost units have monthly costs of less than $400. Assisted units include public housing and other government-subsidized units, as well as rentals where the tenants use vouchers.</t>
  </si>
  <si>
    <t>Title</t>
  </si>
  <si>
    <t>Black</t>
  </si>
  <si>
    <t xml:space="preserve">White </t>
  </si>
  <si>
    <t xml:space="preserve">Black </t>
  </si>
  <si>
    <t>Race/Ethnicity</t>
  </si>
  <si>
    <t>Difficulty</t>
  </si>
  <si>
    <t>Self-care</t>
  </si>
  <si>
    <t>Hearing</t>
  </si>
  <si>
    <t>Vision</t>
  </si>
  <si>
    <t>Independent living</t>
  </si>
  <si>
    <t>Ambulatory</t>
  </si>
  <si>
    <t>Cognitive</t>
  </si>
  <si>
    <t xml:space="preserve">50-54 </t>
  </si>
  <si>
    <t xml:space="preserve">55-59 </t>
  </si>
  <si>
    <t xml:space="preserve">60-64 </t>
  </si>
  <si>
    <t xml:space="preserve">65-69 </t>
  </si>
  <si>
    <t xml:space="preserve">70-74 </t>
  </si>
  <si>
    <t xml:space="preserve">75-79 </t>
  </si>
  <si>
    <t xml:space="preserve">80-84 </t>
  </si>
  <si>
    <t xml:space="preserve">85 and Over </t>
  </si>
  <si>
    <t>Notes: Includes both household and group quarters population. Difficulty categories are non-exclusive. Self-care difficulty is defined as difficulty dressing or bathing. Hearing difficulty is defined as deafness or serious difficulty hearing. Vision difficulty is defined as blindness or serious difficulty seeing even when wearing glasses. Independent living difficulty is defined as difficulty doing errands alone such as visiting a doctor's office or shopping because of a physical, mental, or emotional condition. Ambulatory difficulty is defined as serious difficulty walking or climbing stairs. Cognitive difficulty is defined as serious difficulty concentrating, remembering, or making decisions because of a physical, mental, or emotional condition.</t>
  </si>
  <si>
    <t>Source: JCHS tabulations of US Census Bureau, 2012 American Community Survey.</t>
  </si>
  <si>
    <t>Table A-8</t>
  </si>
  <si>
    <t>Table A-9</t>
  </si>
  <si>
    <t>Mobile Home/Other</t>
  </si>
  <si>
    <t>Group Quarters</t>
  </si>
  <si>
    <t>50-54</t>
  </si>
  <si>
    <t>55-59</t>
  </si>
  <si>
    <t>60-64</t>
  </si>
  <si>
    <t>65-69</t>
  </si>
  <si>
    <t>70-74</t>
  </si>
  <si>
    <t>75-79</t>
  </si>
  <si>
    <t>85 and Over</t>
  </si>
  <si>
    <t>Total 50 and Over</t>
  </si>
  <si>
    <t>Notes: Mobile home/other includes owners and renters living in mobile homes, trailers, boats, RVs, vans, and other structures. Group quarters includes institutional and non-institutional settings.</t>
  </si>
  <si>
    <t>Population Age 50 and Over by Difficulty Type and Age Group: 2012</t>
  </si>
  <si>
    <t>Population by Age, Tenure, and Type of Residence: 2012</t>
  </si>
  <si>
    <t>Non-Housing Expenditures</t>
  </si>
  <si>
    <t>Share of Expenditures on Housing</t>
  </si>
  <si>
    <t>Housing</t>
  </si>
  <si>
    <t>Transportation</t>
  </si>
  <si>
    <t>Food</t>
  </si>
  <si>
    <t>Clothes</t>
  </si>
  <si>
    <t>Healthcare</t>
  </si>
  <si>
    <t xml:space="preserve">Personal Insurance </t>
  </si>
  <si>
    <t>Entertainment</t>
  </si>
  <si>
    <t>Expenditures</t>
  </si>
  <si>
    <t>and Pensions</t>
  </si>
  <si>
    <t>Less than 30%</t>
  </si>
  <si>
    <r>
      <t>30</t>
    </r>
    <r>
      <rPr>
        <sz val="11"/>
        <color theme="1"/>
        <rFont val="Calibri"/>
        <family val="2"/>
      </rPr>
      <t>–50%</t>
    </r>
  </si>
  <si>
    <t>Over 50%</t>
  </si>
  <si>
    <t>65–79</t>
  </si>
  <si>
    <t>All Households</t>
  </si>
  <si>
    <t>Source: JCHS tabulations of Bureau of Labor Statistics, 2012 Consumer Expenditure Survey.</t>
  </si>
  <si>
    <t>Table A-1: Population by Age, Tenure, and Type of Residence: 2012</t>
  </si>
  <si>
    <t>Table A-2: Population Age 50 and Over by Difficulty Type and Age Group: 2012</t>
  </si>
  <si>
    <t xml:space="preserve">Note: Data is for all housing units except for data by tenure and rental assistance status. Assisted units include public housing and other government-subsidized units, as well as rentals where the tenants use vouchers. </t>
  </si>
  <si>
    <t>80 and over</t>
  </si>
  <si>
    <t>Age</t>
  </si>
  <si>
    <t>White</t>
  </si>
  <si>
    <t>Asian/Other</t>
  </si>
  <si>
    <t>Note: White, black, and Asian/others are non-Hispanic; Hispanics may be of any race.</t>
  </si>
  <si>
    <t>Source: JCHS tabulations of US Census Bureau, Population Projections, Middle Series.</t>
  </si>
  <si>
    <t>Table A-10</t>
  </si>
  <si>
    <t>Table A-11</t>
  </si>
  <si>
    <t>Race/Ethnicity: Hispanic</t>
  </si>
  <si>
    <t>Race/Ethnicity: Asian/Other</t>
  </si>
  <si>
    <t>Household Type: Single Person</t>
  </si>
  <si>
    <t>Household Type: All Other</t>
  </si>
  <si>
    <t>Tenure: Renter</t>
  </si>
  <si>
    <t>Source: JCHS 2013 Household Projections (Middle-series)</t>
  </si>
  <si>
    <t>JCHS Household Projections: 2014, 2015, 2020, 2025, 2030, 2035</t>
  </si>
  <si>
    <t>Race/Ethnicity of Person</t>
  </si>
  <si>
    <t>Total 50 and over</t>
  </si>
  <si>
    <t>Average Monthly Spending of Households Aged 50 and Over: 2012</t>
  </si>
  <si>
    <t>Three or More Universal Design Features</t>
  </si>
  <si>
    <t>Table A-12</t>
  </si>
  <si>
    <t>Housing Cost-Burdened Households by Age and Household Characteristics: 2000, 2007, 2011 and 2012</t>
  </si>
  <si>
    <t>Age of Householder</t>
  </si>
  <si>
    <t>65-80</t>
  </si>
  <si>
    <t>50 and Over</t>
  </si>
  <si>
    <t>No Burden</t>
  </si>
  <si>
    <t>Moderate Burden</t>
  </si>
  <si>
    <t>Severe Burden</t>
  </si>
  <si>
    <t>Owned with Mortgage or Loan</t>
  </si>
  <si>
    <t>Owned Free and Clear</t>
  </si>
  <si>
    <t>Rented</t>
  </si>
  <si>
    <t>Race/Ethnicity of Householder</t>
  </si>
  <si>
    <t>Household Income</t>
  </si>
  <si>
    <t>Under $15,000</t>
  </si>
  <si>
    <t>$15,000-29,999</t>
  </si>
  <si>
    <t>$30,000-44,999</t>
  </si>
  <si>
    <t>$45,000-74,999</t>
  </si>
  <si>
    <t>$75,000 and Over</t>
  </si>
  <si>
    <t>Notes: Moderate (severe) burdens are defined as housing costs of 30-50% (more than 50%) of household income. Households with zero or negative income are assumed to be severely burdened, while renteres paying no cash rent are assumed to be unburdened.  Income cutoffs are adjusted to 2012 dollars by the CPI-U for All Items.</t>
  </si>
  <si>
    <t>Source: JCHS tabulations of US Census Bureau, Ameican Community Surveys.</t>
  </si>
  <si>
    <t>Table A-13</t>
  </si>
  <si>
    <t>Share of Households With Housing Cost-Burdens by Age and Household Characteristics: 2000, 2007, 2011 and 2012</t>
  </si>
  <si>
    <t>Percent</t>
  </si>
  <si>
    <t>All 50 and Over</t>
  </si>
  <si>
    <t>Any Burden</t>
  </si>
  <si>
    <t>All Owners Aged 50 and Over</t>
  </si>
  <si>
    <t>All Renters Aged 50 and Over</t>
  </si>
  <si>
    <t>80 and older</t>
  </si>
  <si>
    <t>Source: JCHS tabulations of US Census Bureau, Current Population Surveys.</t>
  </si>
  <si>
    <t>Age of Household Head</t>
  </si>
  <si>
    <t>Year</t>
  </si>
  <si>
    <t xml:space="preserve">All Households </t>
  </si>
  <si>
    <t>65 to 79</t>
  </si>
  <si>
    <t>Source: JCHS tabulations of Federal Reserve Board, Surveys of Consumer Finances.</t>
  </si>
  <si>
    <t>2012 Dollars</t>
  </si>
  <si>
    <t>Average Debt of Households Aged 50 and Over with Debt, by Tenure and Type of Debt: 1992, 1995, 1998, 2001, 2004, 2007, 2010</t>
  </si>
  <si>
    <t>Table A-14</t>
  </si>
  <si>
    <t>50 to 64</t>
  </si>
  <si>
    <t xml:space="preserve">Bottom </t>
  </si>
  <si>
    <t xml:space="preserve">Top </t>
  </si>
  <si>
    <t>All Households Aged 65 to 79</t>
  </si>
  <si>
    <t>All Households Aged 80 and Over</t>
  </si>
  <si>
    <t xml:space="preserve">Source: JCHS tabulations of Federal Reserve Board, Survey of Consumer Finances. </t>
  </si>
  <si>
    <t>Table A-6: Characteristics of Stock Occupied by Older Adults: 2011</t>
  </si>
  <si>
    <t>Table A-7: Characteristics of Assisted Stock Occupied by Older Renters: 2011</t>
  </si>
  <si>
    <t>Table A-8: Universal Design Features by Stock Characteristics: 2011</t>
  </si>
  <si>
    <t>Table A-10: Housing Cost-Burdened Households by Age and Household Characteristics: 2000, 2007, 2011 and 2012</t>
  </si>
  <si>
    <t>Table A-11: Share of Households With Housing Cost-Burdens by Age and Household Characteristics: 2000, 2007, 2011 and 2012</t>
  </si>
  <si>
    <t xml:space="preserve">Credit Card </t>
  </si>
  <si>
    <t>Student Loans</t>
  </si>
  <si>
    <t xml:space="preserve">Vehicle </t>
  </si>
  <si>
    <t xml:space="preserve">Other </t>
  </si>
  <si>
    <t xml:space="preserve"> Non-Housing </t>
  </si>
  <si>
    <t>Mortgage</t>
  </si>
  <si>
    <t xml:space="preserve">Total Net Wealth </t>
  </si>
  <si>
    <t>Retirement Accounts</t>
  </si>
  <si>
    <t>Stocks</t>
  </si>
  <si>
    <t>Cash Savings</t>
  </si>
  <si>
    <t>Cash Value of Life Insurance Policy Holdings</t>
  </si>
  <si>
    <t xml:space="preserve"> 50 and Over</t>
  </si>
  <si>
    <t>All Households Aged 50-64</t>
  </si>
  <si>
    <t>N/A</t>
  </si>
  <si>
    <t>Source: JCHS tabulations of Federal Reserve Board, 2010 Survey of Consumer Finances.</t>
  </si>
  <si>
    <t>65 and Over</t>
  </si>
  <si>
    <t>65 and over</t>
  </si>
  <si>
    <t>Race/Ethnicity: White</t>
  </si>
  <si>
    <t>Race/Ethnicity: Black</t>
  </si>
  <si>
    <t>Household Type: Married or Partnered without Children</t>
  </si>
  <si>
    <t>Tenure: Owner</t>
  </si>
  <si>
    <t>Notes: Moderate (severe) burdens are defined as housing costs of 30-50% (more than 50%) of household income. Households with zero or negative income are assumed to be severely burdened, while renters paying no cash rent are assumed to be unburdened.  Income cutoffs are adjusted to 2012 dollars by the CPI-U for All Items.</t>
  </si>
  <si>
    <t>Table A-15</t>
  </si>
  <si>
    <t>Table A-16</t>
  </si>
  <si>
    <t>Table A-17</t>
  </si>
  <si>
    <t>Table A-15: Median Net Worth and Asset Holdings of Households Aged 50 and Over, by Tenure, Income Quartile and Race/Ethnicity: 2010</t>
  </si>
  <si>
    <t>Table A-17: Average Debt Levels of Households Aged 50 and Over by Tenure: 1992, 1995, 1998, 2001, 2004, 2007, 2010</t>
  </si>
  <si>
    <t>Own with a Mortgage</t>
  </si>
  <si>
    <t>Own without a Mortgage</t>
  </si>
  <si>
    <t>Rent</t>
  </si>
  <si>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</si>
  <si>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</si>
  <si>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</si>
  <si>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</si>
  <si>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</si>
  <si>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</si>
  <si>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</si>
  <si>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</si>
  <si>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 xml:space="preserve">District of Columbia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</si>
  <si>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</si>
  <si>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</si>
  <si>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</si>
  <si>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</si>
  <si>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</si>
  <si>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</si>
  <si>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</si>
  <si>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</si>
  <si>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</si>
  <si>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</si>
  <si>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</si>
  <si>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</si>
  <si>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</si>
  <si>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</si>
  <si>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</si>
  <si>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</si>
  <si>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</si>
  <si>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</si>
  <si>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</si>
  <si>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</si>
  <si>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</si>
  <si>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</si>
  <si>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</si>
  <si>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</si>
  <si>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</si>
  <si>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</si>
  <si>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</si>
  <si>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</si>
  <si>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</si>
  <si>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</si>
  <si>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</si>
  <si>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</si>
  <si>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</si>
  <si>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</si>
  <si>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</si>
  <si>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</si>
  <si>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</si>
  <si>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</si>
  <si>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</si>
  <si>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</si>
  <si>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</si>
  <si>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</si>
  <si>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Notes: Moderate (severe) burdens are defined as housing costs of 30-50% (more than 50%) of household income. Households with zero or negative income are assumed to be severely burdened, while renters paying no cash rent are assumed to be unburdened. </t>
  </si>
  <si>
    <t>Table A-12: Cost-Burdened Households Age 50 and Over by State and Tenure: 2012</t>
  </si>
  <si>
    <t>Cost-Burdened Households Age 50 and Over by State and Tenure: 2012</t>
  </si>
  <si>
    <t>Table A-13: Share of Households Aged 50 and Over with Housing Cost Burdens by State and Tenure: 2012</t>
  </si>
  <si>
    <t>Share of Households Aged 50 and Over with Housing Cost Burdens by State and Tenure: 2012</t>
  </si>
  <si>
    <t>Own</t>
  </si>
  <si>
    <t>No burden</t>
  </si>
  <si>
    <t>Moderate burden</t>
  </si>
  <si>
    <t>Severe burden</t>
  </si>
  <si>
    <t xml:space="preserve">Abilene, TX </t>
  </si>
  <si>
    <t xml:space="preserve">Akron, OH </t>
  </si>
  <si>
    <t xml:space="preserve">Albany, GA </t>
  </si>
  <si>
    <t xml:space="preserve">Albany, OR </t>
  </si>
  <si>
    <t xml:space="preserve">Albany-Schenectady-Troy, NY </t>
  </si>
  <si>
    <t xml:space="preserve">Albuquerque, NM </t>
  </si>
  <si>
    <t xml:space="preserve">Alexandria, LA </t>
  </si>
  <si>
    <t xml:space="preserve">Allentown-Bethlehem-Easton, PA-NJ </t>
  </si>
  <si>
    <t xml:space="preserve">Altoona, PA </t>
  </si>
  <si>
    <t xml:space="preserve">Amarillo, TX </t>
  </si>
  <si>
    <t xml:space="preserve">Ames, IA </t>
  </si>
  <si>
    <t xml:space="preserve">Anchorage, AK </t>
  </si>
  <si>
    <t xml:space="preserve">Ann Arbor, MI </t>
  </si>
  <si>
    <t xml:space="preserve">Anniston-Oxford-Jacksonville, AL </t>
  </si>
  <si>
    <t xml:space="preserve">Appleton, WI </t>
  </si>
  <si>
    <t xml:space="preserve">Asheville, NC </t>
  </si>
  <si>
    <t xml:space="preserve">Athens-Clarke County, GA </t>
  </si>
  <si>
    <t xml:space="preserve">Atlanta-Sandy Springs-Roswell, GA </t>
  </si>
  <si>
    <t xml:space="preserve">Atlantic City-Hammonton, NJ </t>
  </si>
  <si>
    <t xml:space="preserve">Auburn-Opelika, AL </t>
  </si>
  <si>
    <t xml:space="preserve">Augusta-Richmond County, GA-SC </t>
  </si>
  <si>
    <t xml:space="preserve">Austin-Round Rock, TX </t>
  </si>
  <si>
    <t xml:space="preserve">Bakersfield, CA </t>
  </si>
  <si>
    <t xml:space="preserve">Baltimore-Columbia-Towson, MD </t>
  </si>
  <si>
    <t xml:space="preserve">Bangor, ME </t>
  </si>
  <si>
    <t xml:space="preserve">Barnstable Town, MA </t>
  </si>
  <si>
    <t xml:space="preserve">Baton Rouge, LA </t>
  </si>
  <si>
    <t xml:space="preserve">Battle Creek, MI </t>
  </si>
  <si>
    <t xml:space="preserve">Bay City, MI </t>
  </si>
  <si>
    <t xml:space="preserve">Beaumont-Port Arthur, TX </t>
  </si>
  <si>
    <t xml:space="preserve">Beckley, WV </t>
  </si>
  <si>
    <t xml:space="preserve">Bellingham, WA </t>
  </si>
  <si>
    <t xml:space="preserve">Bend-Redmond, OR </t>
  </si>
  <si>
    <t xml:space="preserve">Billings, MT </t>
  </si>
  <si>
    <t xml:space="preserve">Binghamton, NY </t>
  </si>
  <si>
    <t xml:space="preserve">Birmingham-Hoover, AL </t>
  </si>
  <si>
    <t xml:space="preserve">Bismarck, ND </t>
  </si>
  <si>
    <t xml:space="preserve">Blacksburg-Christiansburg-Radford, VA </t>
  </si>
  <si>
    <t xml:space="preserve">Bloomington, IL </t>
  </si>
  <si>
    <t xml:space="preserve">Bloomington, IN </t>
  </si>
  <si>
    <t xml:space="preserve">Bloomsburg-Berwick, PA </t>
  </si>
  <si>
    <t xml:space="preserve">Boise City, ID </t>
  </si>
  <si>
    <t xml:space="preserve">Boston-Cambridge-Newton, MA-NH </t>
  </si>
  <si>
    <t xml:space="preserve">Boulder, CO </t>
  </si>
  <si>
    <t xml:space="preserve">Bowling Green, KY </t>
  </si>
  <si>
    <t xml:space="preserve">Bremerton-Silverdale, WA </t>
  </si>
  <si>
    <t xml:space="preserve">Bridgeport-Stamford-Norwalk, CT </t>
  </si>
  <si>
    <t xml:space="preserve">Brownsville-Harlingen, TX </t>
  </si>
  <si>
    <t xml:space="preserve">Brunswick, GA </t>
  </si>
  <si>
    <t xml:space="preserve">Buffalo-Cheektowaga-Niagara Falls, NY </t>
  </si>
  <si>
    <t xml:space="preserve">Burlington, NC </t>
  </si>
  <si>
    <t xml:space="preserve">Burlington-South Burlington, VT </t>
  </si>
  <si>
    <t xml:space="preserve">California-Lexington Park, MD </t>
  </si>
  <si>
    <t xml:space="preserve">Canton-Massillon, OH </t>
  </si>
  <si>
    <t xml:space="preserve">Cape Coral-Fort Myers, FL </t>
  </si>
  <si>
    <t xml:space="preserve">Cape Girardeau, MO-IL </t>
  </si>
  <si>
    <t xml:space="preserve">Carbondale-Marion, IL </t>
  </si>
  <si>
    <t xml:space="preserve">Carson City, NV </t>
  </si>
  <si>
    <t xml:space="preserve">Casper, WY </t>
  </si>
  <si>
    <t xml:space="preserve">Cedar Rapids, IA </t>
  </si>
  <si>
    <t xml:space="preserve">Chambersburg-Waynesboro, PA </t>
  </si>
  <si>
    <t xml:space="preserve">Champaign-Urbana, IL </t>
  </si>
  <si>
    <t xml:space="preserve">Charleston, WV </t>
  </si>
  <si>
    <t xml:space="preserve">Charleston-North Charleston, SC </t>
  </si>
  <si>
    <t xml:space="preserve">Charlotte-Concord-Gastonia, NC-SC </t>
  </si>
  <si>
    <t xml:space="preserve">Charlottesville, VA </t>
  </si>
  <si>
    <t xml:space="preserve">Chattanooga, TN-GA </t>
  </si>
  <si>
    <t xml:space="preserve">Cheyenne, WY </t>
  </si>
  <si>
    <t xml:space="preserve">Chicago-Naperville-Elgin, IL-IN-WI </t>
  </si>
  <si>
    <t xml:space="preserve">Chico, CA </t>
  </si>
  <si>
    <t xml:space="preserve">Cincinnati, OH-KY-IN </t>
  </si>
  <si>
    <t xml:space="preserve">Clarksville, TN-KY </t>
  </si>
  <si>
    <t xml:space="preserve">Cleveland, TN </t>
  </si>
  <si>
    <t xml:space="preserve">Cleveland-Elyria, OH </t>
  </si>
  <si>
    <t xml:space="preserve">Coeur dAlene, ID </t>
  </si>
  <si>
    <t xml:space="preserve">College Station-Bryan, TX </t>
  </si>
  <si>
    <t xml:space="preserve">Colorado Springs, CO </t>
  </si>
  <si>
    <t xml:space="preserve">Columbia, MO </t>
  </si>
  <si>
    <t xml:space="preserve">Columbia, SC </t>
  </si>
  <si>
    <t xml:space="preserve">Columbus, GA-AL </t>
  </si>
  <si>
    <t xml:space="preserve">Columbus, IN </t>
  </si>
  <si>
    <t xml:space="preserve">Columbus, OH </t>
  </si>
  <si>
    <t xml:space="preserve">Corpus Christi, TX </t>
  </si>
  <si>
    <t xml:space="preserve">Corvallis, OR </t>
  </si>
  <si>
    <t xml:space="preserve">Crestview-Fort Walton Beach-Destin, FL </t>
  </si>
  <si>
    <t xml:space="preserve">Cumberland, MD-WV </t>
  </si>
  <si>
    <t xml:space="preserve">Dallas-Fort Worth-Arlington, TX </t>
  </si>
  <si>
    <t xml:space="preserve">Dalton, GA </t>
  </si>
  <si>
    <t xml:space="preserve">Danville, IL </t>
  </si>
  <si>
    <t xml:space="preserve">Daphne-Fairhope-Foley, AL </t>
  </si>
  <si>
    <t xml:space="preserve">Davenport-Moline-Rock Island, IA-IL </t>
  </si>
  <si>
    <t xml:space="preserve">Dayton, OH </t>
  </si>
  <si>
    <t xml:space="preserve">Decatur, AL </t>
  </si>
  <si>
    <t xml:space="preserve">Decatur, IL </t>
  </si>
  <si>
    <t xml:space="preserve">Deltona-Daytona Beach-Ormond Beach, FL </t>
  </si>
  <si>
    <t xml:space="preserve">Denver-Aurora-Lakewood, CO </t>
  </si>
  <si>
    <t xml:space="preserve">Des Moines-West Des Moines, IA </t>
  </si>
  <si>
    <t xml:space="preserve">Detroit-Warren-Dearborn, MI </t>
  </si>
  <si>
    <t xml:space="preserve">Dothan, AL </t>
  </si>
  <si>
    <t xml:space="preserve">Dover, DE </t>
  </si>
  <si>
    <t xml:space="preserve">Dubuque, IA </t>
  </si>
  <si>
    <t xml:space="preserve">Duluth, MN-WI </t>
  </si>
  <si>
    <t xml:space="preserve">Durham-Chapel Hill, NC </t>
  </si>
  <si>
    <t xml:space="preserve">East Stroudsburg, PA </t>
  </si>
  <si>
    <t xml:space="preserve">Eau Claire, WI </t>
  </si>
  <si>
    <t xml:space="preserve">El Centro, CA </t>
  </si>
  <si>
    <t xml:space="preserve">Elizabethtown-Fort Knox, KY </t>
  </si>
  <si>
    <t xml:space="preserve">Elkhart-Goshen, IN </t>
  </si>
  <si>
    <t xml:space="preserve">Elmira, NY </t>
  </si>
  <si>
    <t xml:space="preserve">El Paso, TX </t>
  </si>
  <si>
    <t xml:space="preserve">Erie, PA </t>
  </si>
  <si>
    <t xml:space="preserve">Eugene, OR </t>
  </si>
  <si>
    <t xml:space="preserve">Evansville, IN-KY </t>
  </si>
  <si>
    <t xml:space="preserve">Fairbanks, AK </t>
  </si>
  <si>
    <t xml:space="preserve">Fargo, ND-MN </t>
  </si>
  <si>
    <t xml:space="preserve">Farmington, NM </t>
  </si>
  <si>
    <t xml:space="preserve">Fayetteville, NC </t>
  </si>
  <si>
    <t xml:space="preserve">Fayetteville-Springdale-Rogers, AR-MO </t>
  </si>
  <si>
    <t xml:space="preserve">Flagstaff, AZ </t>
  </si>
  <si>
    <t xml:space="preserve">Flint, MI </t>
  </si>
  <si>
    <t xml:space="preserve">Florence, SC </t>
  </si>
  <si>
    <t xml:space="preserve">Florence-Muscle Shoals, AL </t>
  </si>
  <si>
    <t xml:space="preserve">Fond du Lac, WI </t>
  </si>
  <si>
    <t xml:space="preserve">Fort Collins, CO </t>
  </si>
  <si>
    <t xml:space="preserve">Fort Smith, AR-OK </t>
  </si>
  <si>
    <t xml:space="preserve">Fort Wayne, IN </t>
  </si>
  <si>
    <t xml:space="preserve">Fresno, CA </t>
  </si>
  <si>
    <t xml:space="preserve">Gadsden, AL </t>
  </si>
  <si>
    <t xml:space="preserve">Gainesville, FL </t>
  </si>
  <si>
    <t xml:space="preserve">Gainesville, GA </t>
  </si>
  <si>
    <t xml:space="preserve">Gettysburg, PA </t>
  </si>
  <si>
    <t xml:space="preserve">Glens Falls, NY </t>
  </si>
  <si>
    <t xml:space="preserve">Goldsboro, NC </t>
  </si>
  <si>
    <t xml:space="preserve">Grand Forks, ND-MN </t>
  </si>
  <si>
    <t xml:space="preserve">Grand Island, NE </t>
  </si>
  <si>
    <t xml:space="preserve">Grand Junction, CO </t>
  </si>
  <si>
    <t xml:space="preserve">Grand Rapids-Wyoming, MI </t>
  </si>
  <si>
    <t xml:space="preserve">Grants Pass, OR </t>
  </si>
  <si>
    <t xml:space="preserve">Great Falls, MT </t>
  </si>
  <si>
    <t xml:space="preserve">Greeley, CO </t>
  </si>
  <si>
    <t xml:space="preserve">Green Bay, WI </t>
  </si>
  <si>
    <t xml:space="preserve">Greensboro-High Point, NC </t>
  </si>
  <si>
    <t xml:space="preserve">Greenville, NC </t>
  </si>
  <si>
    <t xml:space="preserve">Greenville-Anderson-Mauldin, SC </t>
  </si>
  <si>
    <t xml:space="preserve">Gulfport-Biloxi-Pascagoula, MS </t>
  </si>
  <si>
    <t xml:space="preserve">Hagerstown-Martinsburg, MD-WV </t>
  </si>
  <si>
    <t xml:space="preserve">Hammond, LA </t>
  </si>
  <si>
    <t xml:space="preserve">Hanford-Corcoran, CA </t>
  </si>
  <si>
    <t xml:space="preserve">Harrisburg-Carlisle, PA </t>
  </si>
  <si>
    <t xml:space="preserve">Harrisonburg, VA </t>
  </si>
  <si>
    <t xml:space="preserve">Hartford-West Hartford-East Hartford, CT </t>
  </si>
  <si>
    <t xml:space="preserve">Hattiesburg, MS </t>
  </si>
  <si>
    <t xml:space="preserve">Hickory-Lenoir-Morganton, NC </t>
  </si>
  <si>
    <t xml:space="preserve">Hilton Head Island-Bluffton-Beaufort, SC </t>
  </si>
  <si>
    <t xml:space="preserve">Hinesville, GA </t>
  </si>
  <si>
    <t xml:space="preserve">Homosassa Springs, FL </t>
  </si>
  <si>
    <t xml:space="preserve">Hot Springs, AR </t>
  </si>
  <si>
    <t xml:space="preserve">Houma-Thibodaux, LA </t>
  </si>
  <si>
    <t xml:space="preserve">Houston-The Woodlands-Sugar Land, TX </t>
  </si>
  <si>
    <t xml:space="preserve">Huntington-Ashland, WV-KY-OH </t>
  </si>
  <si>
    <t xml:space="preserve">Huntsville, AL </t>
  </si>
  <si>
    <t xml:space="preserve">Idaho Falls, ID </t>
  </si>
  <si>
    <t xml:space="preserve">Indianapolis-Carmel-Anderson, IN </t>
  </si>
  <si>
    <t xml:space="preserve">Iowa City, IA </t>
  </si>
  <si>
    <t xml:space="preserve">Ithaca, NY </t>
  </si>
  <si>
    <t xml:space="preserve">Jackson, MI </t>
  </si>
  <si>
    <t xml:space="preserve">Jackson, MS </t>
  </si>
  <si>
    <t xml:space="preserve">Jackson, TN </t>
  </si>
  <si>
    <t xml:space="preserve">Jacksonville, FL </t>
  </si>
  <si>
    <t xml:space="preserve">Jacksonville, NC </t>
  </si>
  <si>
    <t xml:space="preserve">Janesville-Beloit, WI </t>
  </si>
  <si>
    <t xml:space="preserve">Jefferson City, MO </t>
  </si>
  <si>
    <t xml:space="preserve">Johnson City, TN </t>
  </si>
  <si>
    <t xml:space="preserve">Johnstown, PA </t>
  </si>
  <si>
    <t xml:space="preserve">Jonesboro, AR </t>
  </si>
  <si>
    <t xml:space="preserve">Joplin, MO </t>
  </si>
  <si>
    <t xml:space="preserve">Kahului-Wailuku-Lahaina, HI </t>
  </si>
  <si>
    <t xml:space="preserve">Kalamazoo-Portage, MI </t>
  </si>
  <si>
    <t xml:space="preserve">Kankakee, IL </t>
  </si>
  <si>
    <t xml:space="preserve">Kansas City, MO-KS </t>
  </si>
  <si>
    <t xml:space="preserve">Kennewick-Richland, WA </t>
  </si>
  <si>
    <t xml:space="preserve">Killeen-Temple, TX </t>
  </si>
  <si>
    <t xml:space="preserve">Kingsport-Bristol-Bristol, TN-VA </t>
  </si>
  <si>
    <t xml:space="preserve">Kingston, NY </t>
  </si>
  <si>
    <t xml:space="preserve">Knoxville, TN </t>
  </si>
  <si>
    <t xml:space="preserve">Kokomo, IN </t>
  </si>
  <si>
    <t xml:space="preserve">La Crosse-Onalaska, WI-MN </t>
  </si>
  <si>
    <t xml:space="preserve">Lafayette, LA </t>
  </si>
  <si>
    <t xml:space="preserve">Lafayette-West Lafayette, IN </t>
  </si>
  <si>
    <t xml:space="preserve">Lake Charles, LA </t>
  </si>
  <si>
    <t xml:space="preserve">Lake Havasu City-Kingman, AZ </t>
  </si>
  <si>
    <t xml:space="preserve">Lakeland-Winter Haven, FL </t>
  </si>
  <si>
    <t xml:space="preserve">Lancaster, PA </t>
  </si>
  <si>
    <t xml:space="preserve">Lansing-East Lansing, MI </t>
  </si>
  <si>
    <t xml:space="preserve">Laredo, TX </t>
  </si>
  <si>
    <t xml:space="preserve">Las Cruces, NM </t>
  </si>
  <si>
    <t xml:space="preserve">Las Vegas-Henderson-Paradise, NV </t>
  </si>
  <si>
    <t xml:space="preserve">Lawrence, KS </t>
  </si>
  <si>
    <t xml:space="preserve">Lawton, OK </t>
  </si>
  <si>
    <t xml:space="preserve">Lebanon, PA </t>
  </si>
  <si>
    <t xml:space="preserve">Lewiston, ID-WA </t>
  </si>
  <si>
    <t xml:space="preserve">Lewiston-Auburn, ME </t>
  </si>
  <si>
    <t xml:space="preserve">Lexington-Fayette, KY </t>
  </si>
  <si>
    <t xml:space="preserve">Lima, OH </t>
  </si>
  <si>
    <t xml:space="preserve">Lincoln, NE </t>
  </si>
  <si>
    <t xml:space="preserve">Little Rock-North Little Rock-Conway, AR </t>
  </si>
  <si>
    <t xml:space="preserve">Logan, UT-ID </t>
  </si>
  <si>
    <t xml:space="preserve">Longview, TX </t>
  </si>
  <si>
    <t xml:space="preserve">Longview, WA </t>
  </si>
  <si>
    <t xml:space="preserve">Los Angeles-Long Beach-Anaheim, CA </t>
  </si>
  <si>
    <t xml:space="preserve">Louisville/Jefferson County, KY-IN </t>
  </si>
  <si>
    <t xml:space="preserve">Lubbock, TX </t>
  </si>
  <si>
    <t xml:space="preserve">Lynchburg, VA </t>
  </si>
  <si>
    <t xml:space="preserve">Macon, GA </t>
  </si>
  <si>
    <t xml:space="preserve">Madera, CA </t>
  </si>
  <si>
    <t xml:space="preserve">Madison, WI </t>
  </si>
  <si>
    <t xml:space="preserve">Manchester-Nashua, NH </t>
  </si>
  <si>
    <t xml:space="preserve">Manhattan, KS </t>
  </si>
  <si>
    <t xml:space="preserve">Mankato-North Mankato, MN </t>
  </si>
  <si>
    <t xml:space="preserve">Mansfield, OH </t>
  </si>
  <si>
    <t xml:space="preserve">McAllen-Edinburg-Mission, TX </t>
  </si>
  <si>
    <t xml:space="preserve">Medford, OR </t>
  </si>
  <si>
    <t xml:space="preserve">Memphis, TN-MS-AR </t>
  </si>
  <si>
    <t xml:space="preserve">Merced, CA </t>
  </si>
  <si>
    <t xml:space="preserve">Miami-Fort Lauderdale-West Palm Beach, FL </t>
  </si>
  <si>
    <t xml:space="preserve">Michigan City-La Porte, IN </t>
  </si>
  <si>
    <t xml:space="preserve">Midland, MI </t>
  </si>
  <si>
    <t xml:space="preserve">Midland, TX </t>
  </si>
  <si>
    <t xml:space="preserve">Milwaukee-Waukesha-West Allis, WI </t>
  </si>
  <si>
    <t xml:space="preserve">Minneapolis-St. Paul-Bloomington, MN-WI </t>
  </si>
  <si>
    <t xml:space="preserve">Missoula, MT </t>
  </si>
  <si>
    <t xml:space="preserve">Mobile, AL </t>
  </si>
  <si>
    <t xml:space="preserve">Modesto, CA </t>
  </si>
  <si>
    <t xml:space="preserve">Monroe, LA </t>
  </si>
  <si>
    <t xml:space="preserve">Monroe, MI </t>
  </si>
  <si>
    <t xml:space="preserve">Montgomery, AL </t>
  </si>
  <si>
    <t xml:space="preserve">Morgantown, WV </t>
  </si>
  <si>
    <t xml:space="preserve">Morristown, TN </t>
  </si>
  <si>
    <t xml:space="preserve">Mount Vernon-Anacortes, WA </t>
  </si>
  <si>
    <t xml:space="preserve">Muncie, IN </t>
  </si>
  <si>
    <t xml:space="preserve">Muskegon, MI </t>
  </si>
  <si>
    <t xml:space="preserve">Myrtle Beach-Conway-North Myrtle Beach, SC-NC </t>
  </si>
  <si>
    <t xml:space="preserve">Napa, CA </t>
  </si>
  <si>
    <t xml:space="preserve">Naples-Immokalee-Marco Island, FL </t>
  </si>
  <si>
    <t xml:space="preserve">Nashville-Davidson--Murfreesboro--Franklin, TN </t>
  </si>
  <si>
    <t xml:space="preserve">New Bern, NC </t>
  </si>
  <si>
    <t xml:space="preserve">New Haven-Milford, CT </t>
  </si>
  <si>
    <t xml:space="preserve">New Orleans-Metairie, LA </t>
  </si>
  <si>
    <t xml:space="preserve">New York-Newark-Jersey City, NY-NJ-PA </t>
  </si>
  <si>
    <t xml:space="preserve">Niles-Benton Harbor, MI </t>
  </si>
  <si>
    <t xml:space="preserve">North Port-Sarasota-Bradenton, FL </t>
  </si>
  <si>
    <t xml:space="preserve">Norwich-New London, CT </t>
  </si>
  <si>
    <t xml:space="preserve">Ocala, FL </t>
  </si>
  <si>
    <t xml:space="preserve">Ocean City, NJ </t>
  </si>
  <si>
    <t xml:space="preserve">Odessa, TX </t>
  </si>
  <si>
    <t xml:space="preserve">Ogden-Clearfield, UT </t>
  </si>
  <si>
    <t xml:space="preserve">Oklahoma City, OK </t>
  </si>
  <si>
    <t xml:space="preserve">Olympia-Tumwater, WA </t>
  </si>
  <si>
    <t xml:space="preserve">Omaha-Council Bluffs, NE-IA </t>
  </si>
  <si>
    <t xml:space="preserve">Orlando-Kissimmee-Sanford, FL </t>
  </si>
  <si>
    <t xml:space="preserve">Oshkosh-Neenah, WI </t>
  </si>
  <si>
    <t xml:space="preserve">Owensboro, KY </t>
  </si>
  <si>
    <t xml:space="preserve">Oxnard-Thousand Oaks-Ventura, CA </t>
  </si>
  <si>
    <t xml:space="preserve">Palm Bay-Melbourne-Titusville, FL </t>
  </si>
  <si>
    <t xml:space="preserve">Panama City, FL </t>
  </si>
  <si>
    <t xml:space="preserve">Parkersburg-Vienna, WV </t>
  </si>
  <si>
    <t xml:space="preserve">Pensacola-Ferry Pass-Brent, FL </t>
  </si>
  <si>
    <t xml:space="preserve">Peoria, IL </t>
  </si>
  <si>
    <t xml:space="preserve">Philadelphia-Camden-Wilmington, PA-NJ-DE-MD </t>
  </si>
  <si>
    <t xml:space="preserve">Phoenix-Mesa-Scottsdale, AZ </t>
  </si>
  <si>
    <t xml:space="preserve">Pine Bluff, AR </t>
  </si>
  <si>
    <t xml:space="preserve">Pittsburgh, PA </t>
  </si>
  <si>
    <t xml:space="preserve">Pittsfield, MA </t>
  </si>
  <si>
    <t xml:space="preserve">Pocatello, ID </t>
  </si>
  <si>
    <t xml:space="preserve">Portland-South Portland, ME </t>
  </si>
  <si>
    <t xml:space="preserve">Portland-Vancouver-Hillsboro, OR-WA </t>
  </si>
  <si>
    <t xml:space="preserve">Port St. Lucie, FL </t>
  </si>
  <si>
    <t xml:space="preserve">Prescott, AZ </t>
  </si>
  <si>
    <t xml:space="preserve">Providence-Warwick, RI-MA </t>
  </si>
  <si>
    <t xml:space="preserve">Provo-Orem, UT </t>
  </si>
  <si>
    <t xml:space="preserve">Pueblo, CO </t>
  </si>
  <si>
    <t xml:space="preserve">Punta Gorda, FL </t>
  </si>
  <si>
    <t xml:space="preserve">Racine, WI </t>
  </si>
  <si>
    <t xml:space="preserve">Raleigh, NC </t>
  </si>
  <si>
    <t xml:space="preserve">Rapid City, SD </t>
  </si>
  <si>
    <t xml:space="preserve">Reading, PA </t>
  </si>
  <si>
    <t xml:space="preserve">Redding, CA </t>
  </si>
  <si>
    <t xml:space="preserve">Reno, NV </t>
  </si>
  <si>
    <t xml:space="preserve">Richmond, VA </t>
  </si>
  <si>
    <t xml:space="preserve">Riverside-San Bernardino-Ontario, CA </t>
  </si>
  <si>
    <t xml:space="preserve">Roanoke, VA </t>
  </si>
  <si>
    <t xml:space="preserve">Rochester, MN </t>
  </si>
  <si>
    <t xml:space="preserve">Rochester, NY </t>
  </si>
  <si>
    <t xml:space="preserve">Rockford, IL </t>
  </si>
  <si>
    <t xml:space="preserve">Rocky Mount, NC </t>
  </si>
  <si>
    <t xml:space="preserve">Rome, GA </t>
  </si>
  <si>
    <t xml:space="preserve">Sacramento--Roseville--Arden-Arcade, CA </t>
  </si>
  <si>
    <t xml:space="preserve">Saginaw, MI </t>
  </si>
  <si>
    <t xml:space="preserve">St. Cloud, MN </t>
  </si>
  <si>
    <t xml:space="preserve">St. George, UT </t>
  </si>
  <si>
    <t xml:space="preserve">St. Joseph, MO-KS </t>
  </si>
  <si>
    <t xml:space="preserve">St. Louis, MO-IL </t>
  </si>
  <si>
    <t xml:space="preserve">Salem, OR </t>
  </si>
  <si>
    <t xml:space="preserve">Salinas, CA </t>
  </si>
  <si>
    <t xml:space="preserve">Salisbury, MD-DE </t>
  </si>
  <si>
    <t xml:space="preserve">Salt Lake City, UT </t>
  </si>
  <si>
    <t xml:space="preserve">San Angelo, TX </t>
  </si>
  <si>
    <t xml:space="preserve">San Antonio-New Braunfels, TX </t>
  </si>
  <si>
    <t xml:space="preserve">San Diego-Carlsbad, CA </t>
  </si>
  <si>
    <t xml:space="preserve">San Francisco-Oakland-Hayward, CA </t>
  </si>
  <si>
    <t xml:space="preserve">San Jose-Sunnyvale-Santa Clara, CA </t>
  </si>
  <si>
    <t xml:space="preserve">San Luis Obispo-Paso Robles-Arroyo Grande, CA </t>
  </si>
  <si>
    <t xml:space="preserve">Santa Cruz-Watsonville, CA </t>
  </si>
  <si>
    <t xml:space="preserve">Santa Fe, NM </t>
  </si>
  <si>
    <t xml:space="preserve">Santa Maria-Santa Barbara, CA </t>
  </si>
  <si>
    <t xml:space="preserve">Santa Rosa, CA </t>
  </si>
  <si>
    <t xml:space="preserve">Savannah, GA </t>
  </si>
  <si>
    <t xml:space="preserve">Scranton--Wilkes-Barre--Hazleton, PA </t>
  </si>
  <si>
    <t xml:space="preserve">Seattle-Tacoma-Bellevue, WA </t>
  </si>
  <si>
    <t xml:space="preserve">Sebastian-Vero Beach, FL </t>
  </si>
  <si>
    <t xml:space="preserve">Sebring, FL </t>
  </si>
  <si>
    <t xml:space="preserve">Sheboygan, WI </t>
  </si>
  <si>
    <t xml:space="preserve">Sherman-Denison, TX </t>
  </si>
  <si>
    <t xml:space="preserve">Shreveport-Bossier City, LA </t>
  </si>
  <si>
    <t xml:space="preserve">Sierra Vista-Douglas, AZ </t>
  </si>
  <si>
    <t xml:space="preserve">Sioux City, IA-NE-SD </t>
  </si>
  <si>
    <t xml:space="preserve">Sioux Falls, SD </t>
  </si>
  <si>
    <t xml:space="preserve">South Bend-Mishawaka, IN-MI </t>
  </si>
  <si>
    <t xml:space="preserve">Spartanburg, SC </t>
  </si>
  <si>
    <t xml:space="preserve">Spokane-Spokane Valley, WA </t>
  </si>
  <si>
    <t xml:space="preserve">Springfield, IL </t>
  </si>
  <si>
    <t xml:space="preserve">Springfield, MA </t>
  </si>
  <si>
    <t xml:space="preserve">Springfield, MO </t>
  </si>
  <si>
    <t xml:space="preserve">Springfield, OH </t>
  </si>
  <si>
    <t xml:space="preserve">State College, PA </t>
  </si>
  <si>
    <t xml:space="preserve">Staunton-Waynesboro, VA </t>
  </si>
  <si>
    <t xml:space="preserve">Stockton-Lodi, CA </t>
  </si>
  <si>
    <t xml:space="preserve">Sumter, SC </t>
  </si>
  <si>
    <t xml:space="preserve">Syracuse, NY </t>
  </si>
  <si>
    <t xml:space="preserve">Tallahassee, FL </t>
  </si>
  <si>
    <t xml:space="preserve">Tampa-St. Petersburg-Clearwater, FL </t>
  </si>
  <si>
    <t xml:space="preserve">Terre Haute, IN </t>
  </si>
  <si>
    <t xml:space="preserve">Texarkana, TX-AR </t>
  </si>
  <si>
    <t xml:space="preserve">The Villages, FL </t>
  </si>
  <si>
    <t xml:space="preserve">Toledo, OH </t>
  </si>
  <si>
    <t xml:space="preserve">Topeka, KS </t>
  </si>
  <si>
    <t xml:space="preserve">Trenton, NJ </t>
  </si>
  <si>
    <t xml:space="preserve">Tucson, AZ </t>
  </si>
  <si>
    <t xml:space="preserve">Tulsa, OK </t>
  </si>
  <si>
    <t xml:space="preserve">Tuscaloosa, AL </t>
  </si>
  <si>
    <t xml:space="preserve">Tyler, TX </t>
  </si>
  <si>
    <t xml:space="preserve">Urban Honolulu, HI </t>
  </si>
  <si>
    <t xml:space="preserve">Utica-Rome, NY </t>
  </si>
  <si>
    <t xml:space="preserve">Valdosta, GA </t>
  </si>
  <si>
    <t xml:space="preserve">Vallejo-Fairfield, CA </t>
  </si>
  <si>
    <t xml:space="preserve">Victoria, TX </t>
  </si>
  <si>
    <t xml:space="preserve">Vineland-Bridgeton, NJ </t>
  </si>
  <si>
    <t xml:space="preserve">Virginia Beach-Norfolk-Newport News, VA-NC </t>
  </si>
  <si>
    <t xml:space="preserve">Visalia-Porterville, CA </t>
  </si>
  <si>
    <t xml:space="preserve">Waco, TX </t>
  </si>
  <si>
    <t xml:space="preserve">Walla Walla, WA </t>
  </si>
  <si>
    <t xml:space="preserve">Warner Robins, GA </t>
  </si>
  <si>
    <t xml:space="preserve">Washington-Arlington-Alexandria, DC-VA-MD-WV </t>
  </si>
  <si>
    <t xml:space="preserve">Waterloo-Cedar Falls, IA </t>
  </si>
  <si>
    <t xml:space="preserve">Watertown-Fort Drum, NY </t>
  </si>
  <si>
    <t xml:space="preserve">Wausau, WI </t>
  </si>
  <si>
    <t xml:space="preserve">Weirton-Steubenville, WV-OH </t>
  </si>
  <si>
    <t xml:space="preserve">Wenatchee, WA </t>
  </si>
  <si>
    <t xml:space="preserve">Wheeling, WV-OH </t>
  </si>
  <si>
    <t xml:space="preserve">Wichita, KS </t>
  </si>
  <si>
    <t xml:space="preserve">Wichita Falls, TX </t>
  </si>
  <si>
    <t xml:space="preserve">Williamsport, PA </t>
  </si>
  <si>
    <t xml:space="preserve">Wilmington, NC </t>
  </si>
  <si>
    <t xml:space="preserve">Winchester, VA-WV </t>
  </si>
  <si>
    <t xml:space="preserve">Winston-Salem, NC </t>
  </si>
  <si>
    <t xml:space="preserve">Worcester, MA-CT </t>
  </si>
  <si>
    <t xml:space="preserve">Yakima, WA </t>
  </si>
  <si>
    <t xml:space="preserve">York-Hanover, PA </t>
  </si>
  <si>
    <t xml:space="preserve">Youngstown-Warren-Boardman, OH-PA </t>
  </si>
  <si>
    <t xml:space="preserve">Yuba City, CA </t>
  </si>
  <si>
    <t xml:space="preserve">Yuma, AZ </t>
  </si>
  <si>
    <t>Table A-14: Share of Households with Housing Cost Burdens by Metro Area, Age, and Tenure: 2012</t>
  </si>
  <si>
    <t>Share of Households with Housing Cost Burdens by Metro Area, Age, and Tenure: 2012</t>
  </si>
  <si>
    <t>Households (Thousands)</t>
  </si>
  <si>
    <r>
      <t>50</t>
    </r>
    <r>
      <rPr>
        <b/>
        <sz val="11"/>
        <color theme="1"/>
        <rFont val="Calibri"/>
        <family val="2"/>
      </rPr>
      <t>–</t>
    </r>
    <r>
      <rPr>
        <b/>
        <sz val="11"/>
        <color theme="1"/>
        <rFont val="Calibri"/>
        <family val="2"/>
        <scheme val="minor"/>
      </rPr>
      <t>64</t>
    </r>
  </si>
  <si>
    <r>
      <t>65</t>
    </r>
    <r>
      <rPr>
        <b/>
        <sz val="11"/>
        <color theme="1"/>
        <rFont val="Calibri"/>
        <family val="2"/>
      </rPr>
      <t>–</t>
    </r>
    <r>
      <rPr>
        <b/>
        <sz val="11"/>
        <color theme="1"/>
        <rFont val="Calibri"/>
        <family val="2"/>
        <scheme val="minor"/>
      </rPr>
      <t>79</t>
    </r>
  </si>
  <si>
    <t xml:space="preserve">Percent </t>
  </si>
  <si>
    <t>Dollars</t>
  </si>
  <si>
    <t>All 
Households</t>
  </si>
  <si>
    <t>Age 50–64</t>
  </si>
  <si>
    <t xml:space="preserve">Bottom Expenditure Quartile </t>
  </si>
  <si>
    <t>Table A-9: Average Monthly Spending of Households Aged 50 and Over: 2012</t>
  </si>
  <si>
    <t>Share of Housing Units with Feature (Percent)</t>
  </si>
  <si>
    <t>Table A-5:  JCHS Household Projections (Middle-series): 2014, 2015, 2020, 2025, 2030, 2035</t>
  </si>
  <si>
    <t>People (Thousands)</t>
  </si>
  <si>
    <r>
      <t>Table A-4: Median Household Income by Household Characteristics: 2000</t>
    </r>
    <r>
      <rPr>
        <b/>
        <sz val="12"/>
        <color theme="1"/>
        <rFont val="Calibri"/>
        <family val="2"/>
      </rPr>
      <t>–</t>
    </r>
    <r>
      <rPr>
        <b/>
        <sz val="12"/>
        <color theme="1"/>
        <rFont val="Calibri"/>
        <family val="2"/>
        <scheme val="minor"/>
      </rPr>
      <t>2012</t>
    </r>
  </si>
  <si>
    <r>
      <t>National Population Projections by Age: 2014</t>
    </r>
    <r>
      <rPr>
        <sz val="11"/>
        <color theme="1"/>
        <rFont val="Calibri"/>
        <family val="2"/>
      </rPr>
      <t>–</t>
    </r>
    <r>
      <rPr>
        <sz val="11"/>
        <color theme="1"/>
        <rFont val="Calibri"/>
        <family val="2"/>
        <scheme val="minor"/>
      </rPr>
      <t>2050</t>
    </r>
  </si>
  <si>
    <r>
      <t>Median Household Income by Household Characteristics: 2000</t>
    </r>
    <r>
      <rPr>
        <sz val="11"/>
        <color theme="1"/>
        <rFont val="Calibri"/>
        <family val="2"/>
      </rPr>
      <t>–</t>
    </r>
    <r>
      <rPr>
        <sz val="11"/>
        <color theme="1"/>
        <rFont val="Calibri"/>
        <family val="2"/>
        <scheme val="minor"/>
      </rPr>
      <t>2012</t>
    </r>
  </si>
  <si>
    <t>Share of Age Group (Percent)</t>
  </si>
  <si>
    <t>Population (Thousands) and</t>
  </si>
  <si>
    <t>Population and</t>
  </si>
  <si>
    <t>Housing Type</t>
  </si>
  <si>
    <t>Age Group</t>
  </si>
  <si>
    <t>50–54</t>
  </si>
  <si>
    <t>55–59</t>
  </si>
  <si>
    <t>60–64</t>
  </si>
  <si>
    <t>65–69</t>
  </si>
  <si>
    <t>70–4</t>
  </si>
  <si>
    <t>75–79</t>
  </si>
  <si>
    <t>80–84</t>
  </si>
  <si>
    <t>Table A-3: National Population Projections by Age: 2014–2050</t>
  </si>
  <si>
    <t>Total - All Ages</t>
  </si>
  <si>
    <t>Notes: Dollar values have been adjusted for inflation using the CPI-U for All Items. Whites, blacks, and Asian/others are non-Hispanic. Hispanics may be of any race.</t>
  </si>
  <si>
    <t>All Whites Aged 50 and Over</t>
  </si>
  <si>
    <t>All Blacks Aged 50 and Over</t>
  </si>
  <si>
    <t>All Hispanics Aged 50 and Over</t>
  </si>
  <si>
    <t>All Asian/others Aged 50 and Over</t>
  </si>
  <si>
    <t>Home Equity</t>
  </si>
  <si>
    <t>Non-Housing Wealth</t>
  </si>
  <si>
    <t>Table A-16: Median Household Net Wealth, Home Equity, Home Equity as Share of Net Wealth, and Non-Housing Wealth of Households Aged 50 and Over by Income and Race: 2007, 2010</t>
  </si>
  <si>
    <t>Total  Net Wealth</t>
  </si>
  <si>
    <t xml:space="preserve"> Home Equity Share of Total Net Wealth (Percent)</t>
  </si>
  <si>
    <t>Median Household Net Wealth, Home Equity, Home Equity as Share of Net Wealth, and Non-Housing Wealth of Households Aged 50 and Over by Income and Race: 2007, 2010</t>
  </si>
  <si>
    <t>Single-Family</t>
  </si>
  <si>
    <t>Multifamily</t>
  </si>
  <si>
    <t>Owned</t>
  </si>
  <si>
    <t>Notes: Data excludes renters and households with zero or negative incomes. Medians for net wealth, home equity and non-housing wealth were calculated independently of one another; therefore, home equity and non-housing wealth do not sum up to total net wealth and median equity share of total net wealth is not equivalent to median equity divided by median net wealth. Medians include those with zero or negative net wealth. Non-housing wealth includes  financial and non-financial assets such as savings bonds, retirement accounts and cash life insurance policies. White, black and other households are non-Hispanic. Hispanic households may be of any race. Home equity is for primary residence only. Dollar values are adjusted for inflation using the CPI-U for All Items.</t>
  </si>
  <si>
    <t xml:space="preserve">Notes: Medians for asset holdings include only households with specified asset. Median total net wealth includes households with zero or negative net wealth. White, black, and other households are non-Hispanic. Hispanic households may be of any race. Cash savings include CDs and checking, savings, and money market accounts. </t>
  </si>
  <si>
    <t>Note: Averages include households without specified debt type. Averages for each debt type were calculated independently of one another. Mortgage debt is for primary residence only. Some renters also have debt secured by a second home such as a vacation home, which is not displayed in this table. Non-housing debt is the sum of the following debt types: credit card debt, student loan debt, vehicle debt and other debt. Other debt includes miscellaneous installment loans such as those for medical bills, as well as loans against pensions, loans against life insurance and margin loans.  Amounts for non-housing debt types do not add up exactly to total non-housing debt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</si>
</sst>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3" formatCode="_(* #,##0.00_);_(* \(#,##0.00\);_(* &quot;-&quot;??_);_(@_)"/>
    <numFmt numFmtId="164" formatCode="0.0"/>
    <numFmt numFmtId="165" formatCode="_(* #,##0_);_(* \(#,##0\);_(* &quot;-&quot;??_);_(@_)"/>
    <numFmt numFmtId="166" formatCode="#,#0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0"/>
      <name val="MS Sans Serif"/>
      <family val="2"/>
    </font>
    <font>
      <sz val="11"/>
      <color indexed="8"/>
      <name val="Calibri"/>
      <family val="2"/>
    </font>
    <font>
      <sz val="11"/>
      <color rgb="FF000000"/>
      <name val="Calibri"/>
      <family val="2"/>
      <scheme val="minor"/>
    </font>
    <font>
      <b/>
      <sz val="11"/>
      <color rgb="FF000000"/>
      <name val="Calibri"/>
      <family val="2"/>
      <scheme val="minor"/>
    </font>
    <font>
      <sz val="11"/>
      <color theme="0"/>
      <name val="Calibri"/>
      <family val="2"/>
      <scheme val="minor"/>
    </font>
    <font>
      <b/>
      <sz val="11"/>
      <color theme="1"/>
      <name val="Calibri"/>
      <family val="2"/>
    </font>
    <font>
      <b/>
      <sz val="12"/>
      <color theme="1"/>
      <name val="Calibri"/>
      <family val="2"/>
      <scheme val="minor"/>
    </font>
    <font>
      <sz val="12"/>
      <color theme="1"/>
      <name val="Calibri"/>
      <family val="2"/>
      <scheme val="minor"/>
    </font>
    <font>
      <sz val="11"/>
      <name val="Calibri"/>
      <family val="2"/>
      <scheme val="minor"/>
    </font>
    <font>
      <b/>
      <sz val="12"/>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s>
  <borders count="7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ck">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thin">
        <color indexed="64"/>
      </bottom>
      <diagonal/>
    </border>
    <border>
      <left/>
      <right style="double">
        <color auto="1"/>
      </right>
      <top/>
      <bottom style="thin">
        <color indexed="64"/>
      </bottom>
      <diagonal/>
    </border>
    <border>
      <left style="double">
        <color auto="1"/>
      </left>
      <right style="double">
        <color auto="1"/>
      </right>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double">
        <color auto="1"/>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1" fillId="0" borderId="0"/>
    <xf numFmtId="0" fontId="5" fillId="0" borderId="0"/>
    <xf numFmtId="0" fontId="6" fillId="4" borderId="59" applyNumberFormat="0" applyFont="0" applyAlignment="0" applyProtection="0"/>
  </cellStyleXfs>
  <cellXfs count="454">
    <xf numFmtId="0" fontId="0" fillId="0" borderId="0" xfId="0"/>
    <xf numFmtId="3" fontId="0" fillId="0" borderId="0" xfId="0" applyNumberFormat="1"/>
    <xf numFmtId="0" fontId="0" fillId="0" borderId="0" xfId="0" applyAlignment="1">
      <alignment wrapText="1"/>
    </xf>
    <xf numFmtId="0" fontId="0" fillId="0" borderId="0" xfId="0" applyBorder="1"/>
    <xf numFmtId="165" fontId="0" fillId="0" borderId="2" xfId="1" applyNumberFormat="1" applyFont="1" applyBorder="1"/>
    <xf numFmtId="165" fontId="0" fillId="0" borderId="8" xfId="1" applyNumberFormat="1" applyFont="1" applyBorder="1"/>
    <xf numFmtId="0" fontId="2" fillId="0" borderId="6" xfId="0" applyFont="1" applyBorder="1" applyAlignment="1">
      <alignment horizontal="center" wrapText="1"/>
    </xf>
    <xf numFmtId="0" fontId="2" fillId="0" borderId="6" xfId="0" applyFont="1" applyBorder="1" applyAlignment="1">
      <alignment horizontal="center"/>
    </xf>
    <xf numFmtId="0" fontId="0" fillId="0" borderId="0" xfId="0"/>
    <xf numFmtId="0" fontId="0" fillId="0" borderId="0" xfId="0"/>
    <xf numFmtId="0" fontId="2" fillId="0" borderId="0" xfId="0" applyFont="1"/>
    <xf numFmtId="0" fontId="0" fillId="0" borderId="0" xfId="0" applyFont="1" applyFill="1" applyBorder="1" applyAlignment="1">
      <alignment vertical="top"/>
    </xf>
    <xf numFmtId="0" fontId="0" fillId="0" borderId="2" xfId="0" applyBorder="1"/>
    <xf numFmtId="164" fontId="0" fillId="0" borderId="2" xfId="0" applyNumberFormat="1" applyBorder="1"/>
    <xf numFmtId="0" fontId="0" fillId="0" borderId="0" xfId="0" applyFill="1" applyBorder="1" applyAlignment="1">
      <alignment horizontal="left" vertical="top"/>
    </xf>
    <xf numFmtId="0" fontId="0" fillId="0" borderId="0" xfId="0" applyFill="1" applyBorder="1" applyAlignment="1">
      <alignment horizontal="left"/>
    </xf>
    <xf numFmtId="0" fontId="0" fillId="0" borderId="0" xfId="0" applyFont="1"/>
    <xf numFmtId="3" fontId="0" fillId="0" borderId="2" xfId="0" applyNumberFormat="1" applyBorder="1"/>
    <xf numFmtId="0" fontId="0" fillId="0" borderId="2" xfId="0" applyFont="1" applyBorder="1"/>
    <xf numFmtId="0" fontId="0" fillId="0" borderId="0" xfId="0" applyFill="1"/>
    <xf numFmtId="0" fontId="0" fillId="0" borderId="0" xfId="0" applyFont="1" applyFill="1"/>
    <xf numFmtId="0" fontId="0" fillId="0" borderId="6" xfId="0" applyBorder="1"/>
    <xf numFmtId="3" fontId="0" fillId="0" borderId="6" xfId="0" applyNumberFormat="1" applyBorder="1"/>
    <xf numFmtId="0" fontId="0" fillId="0" borderId="10" xfId="0" applyFont="1" applyBorder="1"/>
    <xf numFmtId="3" fontId="0" fillId="0" borderId="10" xfId="0" applyNumberFormat="1" applyBorder="1"/>
    <xf numFmtId="0" fontId="0" fillId="0" borderId="10" xfId="0" applyBorder="1"/>
    <xf numFmtId="0" fontId="2" fillId="2" borderId="0" xfId="0" applyFont="1" applyFill="1" applyBorder="1"/>
    <xf numFmtId="0" fontId="2" fillId="0" borderId="6" xfId="0" applyFont="1" applyBorder="1"/>
    <xf numFmtId="3" fontId="0" fillId="2" borderId="0" xfId="0" applyNumberFormat="1" applyFill="1" applyBorder="1" applyAlignment="1">
      <alignment wrapText="1"/>
    </xf>
    <xf numFmtId="3" fontId="0" fillId="2" borderId="0" xfId="0" applyNumberFormat="1" applyFill="1" applyBorder="1"/>
    <xf numFmtId="3" fontId="0" fillId="0" borderId="6" xfId="0" applyNumberFormat="1" applyBorder="1" applyAlignment="1">
      <alignment wrapText="1"/>
    </xf>
    <xf numFmtId="3" fontId="0" fillId="0" borderId="19" xfId="0" applyNumberFormat="1" applyBorder="1" applyAlignment="1">
      <alignment horizontal="center"/>
    </xf>
    <xf numFmtId="3" fontId="0" fillId="0" borderId="20" xfId="0" applyNumberFormat="1" applyBorder="1" applyAlignment="1">
      <alignment horizontal="center"/>
    </xf>
    <xf numFmtId="164" fontId="0" fillId="0" borderId="22" xfId="0" applyNumberFormat="1" applyBorder="1" applyAlignment="1">
      <alignment horizontal="center"/>
    </xf>
    <xf numFmtId="3" fontId="0" fillId="0" borderId="6" xfId="0" applyNumberForma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xf numFmtId="0" fontId="0" fillId="0" borderId="0" xfId="0" applyAlignment="1">
      <alignment horizontal="center" vertical="center" wrapText="1"/>
    </xf>
    <xf numFmtId="2" fontId="0" fillId="0" borderId="0" xfId="0" applyNumberFormat="1"/>
    <xf numFmtId="164" fontId="0" fillId="0" borderId="0" xfId="0" applyNumberFormat="1"/>
    <xf numFmtId="0" fontId="0" fillId="0" borderId="32" xfId="0" applyBorder="1"/>
    <xf numFmtId="0" fontId="0" fillId="0" borderId="33" xfId="0" applyBorder="1"/>
    <xf numFmtId="0" fontId="0" fillId="0" borderId="34" xfId="0" applyBorder="1"/>
    <xf numFmtId="0" fontId="0" fillId="0" borderId="12" xfId="0" applyBorder="1"/>
    <xf numFmtId="0" fontId="0" fillId="0" borderId="13" xfId="0" applyBorder="1"/>
    <xf numFmtId="0" fontId="0" fillId="0" borderId="7" xfId="0" applyBorder="1" applyAlignment="1">
      <alignment horizontal="center"/>
    </xf>
    <xf numFmtId="0" fontId="0" fillId="0" borderId="6" xfId="0" applyBorder="1" applyAlignment="1">
      <alignment horizontal="center"/>
    </xf>
    <xf numFmtId="0" fontId="0" fillId="0" borderId="36" xfId="0" applyBorder="1" applyAlignment="1">
      <alignment horizontal="center"/>
    </xf>
    <xf numFmtId="0" fontId="0" fillId="0" borderId="7" xfId="0" applyBorder="1"/>
    <xf numFmtId="0" fontId="0" fillId="0" borderId="37" xfId="0" applyBorder="1"/>
    <xf numFmtId="1" fontId="0" fillId="0" borderId="2" xfId="0" applyNumberFormat="1" applyBorder="1"/>
    <xf numFmtId="1" fontId="0" fillId="0" borderId="18" xfId="0" applyNumberFormat="1" applyBorder="1"/>
    <xf numFmtId="1" fontId="0" fillId="0" borderId="0" xfId="0" applyNumberFormat="1"/>
    <xf numFmtId="0" fontId="0" fillId="0" borderId="38" xfId="0" applyBorder="1"/>
    <xf numFmtId="1" fontId="0" fillId="0" borderId="8" xfId="0" applyNumberFormat="1" applyBorder="1"/>
    <xf numFmtId="1" fontId="0" fillId="0" borderId="39" xfId="0" applyNumberFormat="1" applyBorder="1"/>
    <xf numFmtId="3" fontId="0" fillId="0" borderId="0" xfId="0" applyNumberFormat="1" applyBorder="1"/>
    <xf numFmtId="0" fontId="0" fillId="0" borderId="0" xfId="0"/>
    <xf numFmtId="0" fontId="2" fillId="0" borderId="0" xfId="0" applyFont="1"/>
    <xf numFmtId="3" fontId="0" fillId="0" borderId="43" xfId="0" applyNumberFormat="1" applyBorder="1"/>
    <xf numFmtId="3" fontId="0" fillId="0" borderId="44" xfId="0" applyNumberFormat="1" applyBorder="1"/>
    <xf numFmtId="0" fontId="2" fillId="0" borderId="0" xfId="0" applyFont="1" applyFill="1"/>
    <xf numFmtId="3" fontId="0" fillId="3" borderId="0" xfId="0" applyNumberFormat="1" applyFill="1" applyBorder="1"/>
    <xf numFmtId="0" fontId="0" fillId="0" borderId="0" xfId="0" applyFont="1" applyBorder="1" applyAlignment="1">
      <alignment vertical="center"/>
    </xf>
    <xf numFmtId="0" fontId="0" fillId="0" borderId="0" xfId="0" applyFont="1" applyAlignment="1"/>
    <xf numFmtId="164" fontId="0" fillId="0" borderId="0" xfId="0" applyNumberFormat="1" applyBorder="1"/>
    <xf numFmtId="164" fontId="0" fillId="3" borderId="0" xfId="0" applyNumberFormat="1" applyFill="1" applyBorder="1"/>
    <xf numFmtId="0" fontId="0" fillId="0" borderId="2" xfId="0" applyBorder="1" applyAlignment="1"/>
    <xf numFmtId="0" fontId="0" fillId="0" borderId="2" xfId="0" applyFill="1" applyBorder="1"/>
    <xf numFmtId="0" fontId="0" fillId="0" borderId="6" xfId="0" applyFill="1" applyBorder="1"/>
    <xf numFmtId="0" fontId="0" fillId="2" borderId="0" xfId="0" applyFill="1" applyBorder="1"/>
    <xf numFmtId="0" fontId="0" fillId="0" borderId="6" xfId="0" applyFill="1" applyBorder="1" applyAlignment="1"/>
    <xf numFmtId="0" fontId="2" fillId="2" borderId="0" xfId="0" applyFont="1" applyFill="1" applyBorder="1" applyAlignment="1"/>
    <xf numFmtId="0" fontId="2" fillId="0" borderId="6" xfId="0" applyFont="1" applyFill="1" applyBorder="1" applyAlignment="1">
      <alignment horizontal="center" wrapText="1"/>
    </xf>
    <xf numFmtId="6" fontId="0" fillId="0" borderId="0" xfId="0" applyNumberFormat="1"/>
    <xf numFmtId="0" fontId="0" fillId="0" borderId="6" xfId="0" applyFont="1" applyBorder="1"/>
    <xf numFmtId="0" fontId="0" fillId="0" borderId="0" xfId="0" applyAlignment="1"/>
    <xf numFmtId="0" fontId="0" fillId="0" borderId="0" xfId="0" applyFont="1" applyBorder="1"/>
    <xf numFmtId="38" fontId="0" fillId="0" borderId="0" xfId="0" applyNumberFormat="1" applyBorder="1"/>
    <xf numFmtId="0" fontId="2" fillId="0" borderId="0" xfId="0" applyFont="1" applyBorder="1" applyAlignment="1">
      <alignment horizontal="center" vertical="center" wrapText="1"/>
    </xf>
    <xf numFmtId="2" fontId="0" fillId="0" borderId="0" xfId="0" applyNumberFormat="1" applyBorder="1"/>
    <xf numFmtId="3" fontId="0" fillId="0" borderId="0" xfId="0" applyNumberFormat="1" applyFill="1" applyBorder="1"/>
    <xf numFmtId="164" fontId="0" fillId="0" borderId="0" xfId="0" applyNumberFormat="1" applyFill="1" applyBorder="1"/>
    <xf numFmtId="0" fontId="2" fillId="0" borderId="6" xfId="0" applyFont="1" applyBorder="1" applyAlignment="1">
      <alignment horizontal="center" vertical="center" wrapText="1"/>
    </xf>
    <xf numFmtId="3" fontId="0" fillId="0" borderId="2" xfId="0" applyNumberFormat="1" applyBorder="1" applyAlignment="1">
      <alignment vertical="center"/>
    </xf>
    <xf numFmtId="6" fontId="0" fillId="0" borderId="0" xfId="0" applyNumberFormat="1" applyBorder="1"/>
    <xf numFmtId="11" fontId="0" fillId="0" borderId="0" xfId="0" applyNumberFormat="1"/>
    <xf numFmtId="0" fontId="2" fillId="0" borderId="6" xfId="0" applyFont="1" applyFill="1" applyBorder="1"/>
    <xf numFmtId="3" fontId="0" fillId="0" borderId="46" xfId="0" applyNumberFormat="1" applyBorder="1"/>
    <xf numFmtId="38" fontId="0" fillId="0" borderId="10" xfId="0" applyNumberFormat="1" applyBorder="1"/>
    <xf numFmtId="3" fontId="0" fillId="0" borderId="19" xfId="0" applyNumberFormat="1" applyBorder="1"/>
    <xf numFmtId="38" fontId="0" fillId="0" borderId="7" xfId="0" applyNumberFormat="1" applyBorder="1"/>
    <xf numFmtId="3" fontId="0" fillId="2" borderId="0" xfId="0" applyNumberFormat="1" applyFill="1" applyBorder="1" applyAlignment="1">
      <alignment vertical="top" wrapText="1"/>
    </xf>
    <xf numFmtId="3" fontId="0" fillId="0" borderId="2" xfId="0" applyNumberFormat="1" applyBorder="1" applyAlignment="1">
      <alignment horizontal="right"/>
    </xf>
    <xf numFmtId="0" fontId="0" fillId="0" borderId="0" xfId="0" applyFill="1" applyBorder="1"/>
    <xf numFmtId="0" fontId="2" fillId="0" borderId="7" xfId="0" applyFont="1" applyBorder="1" applyAlignment="1">
      <alignment horizontal="center" vertical="center"/>
    </xf>
    <xf numFmtId="0" fontId="0" fillId="0" borderId="40" xfId="0" applyBorder="1"/>
    <xf numFmtId="0" fontId="0" fillId="0" borderId="40" xfId="0" applyFont="1" applyBorder="1"/>
    <xf numFmtId="0" fontId="0" fillId="0" borderId="44" xfId="0" applyBorder="1"/>
    <xf numFmtId="0" fontId="0" fillId="0" borderId="43" xfId="0" applyBorder="1"/>
    <xf numFmtId="0" fontId="0" fillId="0" borderId="44" xfId="0" applyFont="1" applyBorder="1"/>
    <xf numFmtId="0" fontId="0" fillId="0" borderId="43" xfId="0" applyFont="1" applyBorder="1"/>
    <xf numFmtId="0" fontId="0" fillId="0" borderId="10" xfId="0" applyFont="1" applyFill="1" applyBorder="1"/>
    <xf numFmtId="165" fontId="0" fillId="0" borderId="4" xfId="1" applyNumberFormat="1" applyFont="1" applyBorder="1"/>
    <xf numFmtId="165" fontId="0" fillId="0" borderId="10" xfId="1" applyNumberFormat="1" applyFont="1" applyBorder="1"/>
    <xf numFmtId="165" fontId="0" fillId="2" borderId="0" xfId="1" applyNumberFormat="1" applyFont="1" applyFill="1" applyBorder="1"/>
    <xf numFmtId="165" fontId="0" fillId="0" borderId="6" xfId="1" applyNumberFormat="1" applyFont="1" applyBorder="1"/>
    <xf numFmtId="0" fontId="2" fillId="0" borderId="49" xfId="0" applyFont="1" applyBorder="1"/>
    <xf numFmtId="165" fontId="0" fillId="0" borderId="50" xfId="1" applyNumberFormat="1" applyFont="1" applyBorder="1"/>
    <xf numFmtId="0" fontId="2" fillId="2" borderId="21" xfId="0" applyFont="1" applyFill="1" applyBorder="1"/>
    <xf numFmtId="165" fontId="0" fillId="2" borderId="36" xfId="1" applyNumberFormat="1" applyFont="1" applyFill="1" applyBorder="1"/>
    <xf numFmtId="0" fontId="0" fillId="0" borderId="51" xfId="0" applyFont="1" applyBorder="1" applyAlignment="1">
      <alignment horizontal="left" indent="2"/>
    </xf>
    <xf numFmtId="165" fontId="0" fillId="0" borderId="30" xfId="1" applyNumberFormat="1" applyFont="1" applyBorder="1"/>
    <xf numFmtId="0" fontId="0" fillId="0" borderId="37" xfId="0" applyFont="1" applyBorder="1" applyAlignment="1">
      <alignment horizontal="left" indent="2"/>
    </xf>
    <xf numFmtId="165" fontId="0" fillId="0" borderId="18" xfId="1" applyNumberFormat="1" applyFont="1" applyBorder="1"/>
    <xf numFmtId="0" fontId="0" fillId="0" borderId="24" xfId="0" applyFont="1" applyBorder="1" applyAlignment="1">
      <alignment horizontal="left" indent="2"/>
    </xf>
    <xf numFmtId="165" fontId="0" fillId="0" borderId="20" xfId="1" applyNumberFormat="1" applyFont="1" applyBorder="1"/>
    <xf numFmtId="0" fontId="0" fillId="0" borderId="37" xfId="0" applyFont="1" applyBorder="1" applyAlignment="1">
      <alignment horizontal="left" wrapText="1" indent="2"/>
    </xf>
    <xf numFmtId="0" fontId="0" fillId="0" borderId="24" xfId="0" applyFont="1" applyBorder="1" applyAlignment="1">
      <alignment horizontal="left" wrapText="1" indent="2"/>
    </xf>
    <xf numFmtId="0" fontId="0" fillId="0" borderId="38" xfId="0" applyFont="1" applyBorder="1" applyAlignment="1">
      <alignment horizontal="left" indent="2"/>
    </xf>
    <xf numFmtId="165" fontId="0" fillId="0" borderId="39" xfId="1" applyNumberFormat="1" applyFont="1" applyBorder="1"/>
    <xf numFmtId="0" fontId="0" fillId="2" borderId="36" xfId="0" applyFill="1" applyBorder="1"/>
    <xf numFmtId="0" fontId="0" fillId="0" borderId="47" xfId="0" applyBorder="1"/>
    <xf numFmtId="0" fontId="2" fillId="0" borderId="47" xfId="0" applyFont="1" applyBorder="1" applyAlignment="1">
      <alignment wrapText="1"/>
    </xf>
    <xf numFmtId="0" fontId="2" fillId="0" borderId="47" xfId="0" applyFont="1" applyFill="1" applyBorder="1" applyAlignment="1">
      <alignment wrapText="1"/>
    </xf>
    <xf numFmtId="0" fontId="2" fillId="0" borderId="54" xfId="0" applyFont="1" applyFill="1" applyBorder="1" applyAlignment="1">
      <alignment wrapText="1"/>
    </xf>
    <xf numFmtId="3" fontId="0" fillId="0" borderId="20" xfId="0" applyNumberFormat="1" applyBorder="1"/>
    <xf numFmtId="3" fontId="0" fillId="2" borderId="36" xfId="0" applyNumberFormat="1" applyFill="1" applyBorder="1"/>
    <xf numFmtId="3" fontId="0" fillId="0" borderId="30" xfId="0" applyNumberFormat="1" applyBorder="1"/>
    <xf numFmtId="3" fontId="0" fillId="0" borderId="18" xfId="0" applyNumberFormat="1" applyBorder="1"/>
    <xf numFmtId="3" fontId="0" fillId="0" borderId="18" xfId="0" applyNumberFormat="1" applyBorder="1" applyAlignment="1">
      <alignment horizontal="right"/>
    </xf>
    <xf numFmtId="0" fontId="2" fillId="0" borderId="8" xfId="0" applyFont="1" applyFill="1" applyBorder="1"/>
    <xf numFmtId="3" fontId="0" fillId="0" borderId="8" xfId="0" applyNumberFormat="1" applyBorder="1"/>
    <xf numFmtId="3" fontId="0" fillId="0" borderId="39" xfId="0" applyNumberFormat="1" applyBorder="1"/>
    <xf numFmtId="0" fontId="0" fillId="0" borderId="53" xfId="0" applyBorder="1"/>
    <xf numFmtId="0" fontId="2" fillId="0" borderId="37" xfId="0" applyFont="1" applyBorder="1" applyAlignment="1">
      <alignment wrapText="1"/>
    </xf>
    <xf numFmtId="0" fontId="2" fillId="0" borderId="20" xfId="0" applyFont="1" applyBorder="1"/>
    <xf numFmtId="0" fontId="2" fillId="2" borderId="36" xfId="0" applyFont="1" applyFill="1" applyBorder="1"/>
    <xf numFmtId="0" fontId="0" fillId="0" borderId="8" xfId="0" applyFont="1" applyFill="1" applyBorder="1"/>
    <xf numFmtId="0" fontId="2" fillId="0" borderId="20" xfId="0" applyFont="1" applyFill="1" applyBorder="1" applyAlignment="1">
      <alignment horizontal="center" wrapText="1"/>
    </xf>
    <xf numFmtId="0" fontId="0" fillId="2" borderId="21" xfId="0" applyFont="1" applyFill="1" applyBorder="1"/>
    <xf numFmtId="0" fontId="0" fillId="0" borderId="51" xfId="0" applyFont="1" applyBorder="1"/>
    <xf numFmtId="0" fontId="0" fillId="0" borderId="37" xfId="0" applyFont="1" applyBorder="1"/>
    <xf numFmtId="0" fontId="0" fillId="0" borderId="24" xfId="0" applyFont="1" applyBorder="1"/>
    <xf numFmtId="0" fontId="0" fillId="0" borderId="51" xfId="0" applyBorder="1"/>
    <xf numFmtId="0" fontId="0" fillId="0" borderId="37" xfId="0" applyBorder="1" applyAlignment="1">
      <alignment vertical="top" wrapText="1"/>
    </xf>
    <xf numFmtId="0" fontId="0" fillId="0" borderId="37" xfId="0" applyBorder="1" applyAlignment="1"/>
    <xf numFmtId="0" fontId="0" fillId="0" borderId="24" xfId="0" applyBorder="1"/>
    <xf numFmtId="0" fontId="0" fillId="2" borderId="21" xfId="0" applyFill="1" applyBorder="1"/>
    <xf numFmtId="0" fontId="0" fillId="0" borderId="8" xfId="0" applyBorder="1"/>
    <xf numFmtId="0" fontId="2" fillId="0" borderId="47" xfId="0" applyFont="1" applyBorder="1"/>
    <xf numFmtId="0" fontId="2" fillId="0" borderId="54" xfId="0" applyFont="1" applyBorder="1"/>
    <xf numFmtId="0" fontId="2" fillId="2" borderId="21" xfId="0" applyFont="1" applyFill="1" applyBorder="1" applyAlignment="1"/>
    <xf numFmtId="3" fontId="0" fillId="0" borderId="36" xfId="0" applyNumberFormat="1" applyBorder="1"/>
    <xf numFmtId="3" fontId="0" fillId="0" borderId="36" xfId="0" applyNumberFormat="1" applyFill="1" applyBorder="1"/>
    <xf numFmtId="3" fontId="0" fillId="3" borderId="36" xfId="0" applyNumberFormat="1" applyFill="1" applyBorder="1"/>
    <xf numFmtId="3" fontId="0" fillId="0" borderId="1" xfId="0" applyNumberFormat="1" applyFill="1" applyBorder="1"/>
    <xf numFmtId="3" fontId="0" fillId="0" borderId="58" xfId="0" applyNumberFormat="1" applyFill="1" applyBorder="1"/>
    <xf numFmtId="164" fontId="0" fillId="0" borderId="36" xfId="0" applyNumberFormat="1" applyBorder="1"/>
    <xf numFmtId="164" fontId="0" fillId="0" borderId="36" xfId="0" applyNumberFormat="1" applyFill="1" applyBorder="1"/>
    <xf numFmtId="164" fontId="0" fillId="3" borderId="36" xfId="0" applyNumberFormat="1" applyFill="1" applyBorder="1"/>
    <xf numFmtId="164" fontId="0" fillId="0" borderId="1" xfId="0" applyNumberFormat="1" applyFill="1" applyBorder="1"/>
    <xf numFmtId="164" fontId="0" fillId="0" borderId="58" xfId="0" applyNumberFormat="1" applyFill="1" applyBorder="1"/>
    <xf numFmtId="0" fontId="2" fillId="2" borderId="22" xfId="0" applyFont="1" applyFill="1" applyBorder="1"/>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0" fillId="0" borderId="60" xfId="0" applyBorder="1" applyAlignment="1">
      <alignment horizontal="center" vertical="center" wrapText="1"/>
    </xf>
    <xf numFmtId="0" fontId="0" fillId="0" borderId="21" xfId="0" applyBorder="1"/>
    <xf numFmtId="166" fontId="0" fillId="0" borderId="22" xfId="0" applyNumberFormat="1" applyBorder="1" applyAlignment="1">
      <alignment horizontal="center"/>
    </xf>
    <xf numFmtId="166" fontId="0" fillId="0" borderId="0" xfId="0" applyNumberFormat="1" applyBorder="1" applyAlignment="1">
      <alignment horizontal="center"/>
    </xf>
    <xf numFmtId="166" fontId="0" fillId="0" borderId="5" xfId="0" applyNumberFormat="1" applyBorder="1" applyAlignment="1">
      <alignment horizontal="center"/>
    </xf>
    <xf numFmtId="166" fontId="0" fillId="0" borderId="36" xfId="0" applyNumberFormat="1" applyBorder="1" applyAlignment="1">
      <alignment horizontal="center"/>
    </xf>
    <xf numFmtId="0" fontId="0" fillId="0" borderId="31" xfId="0" applyBorder="1"/>
    <xf numFmtId="166" fontId="0" fillId="0" borderId="57" xfId="0" applyNumberFormat="1" applyBorder="1" applyAlignment="1">
      <alignment horizontal="center"/>
    </xf>
    <xf numFmtId="166" fontId="0" fillId="0" borderId="1" xfId="0" applyNumberFormat="1" applyBorder="1" applyAlignment="1">
      <alignment horizontal="center"/>
    </xf>
    <xf numFmtId="166" fontId="0" fillId="0" borderId="56" xfId="0" applyNumberFormat="1" applyBorder="1" applyAlignment="1">
      <alignment horizontal="center"/>
    </xf>
    <xf numFmtId="166" fontId="0" fillId="0" borderId="58" xfId="0" applyNumberFormat="1" applyBorder="1" applyAlignment="1">
      <alignment horizontal="center"/>
    </xf>
    <xf numFmtId="0" fontId="0" fillId="0" borderId="9" xfId="0" applyBorder="1" applyAlignment="1">
      <alignment horizontal="center" vertical="center" wrapText="1"/>
    </xf>
    <xf numFmtId="0" fontId="0" fillId="0" borderId="15" xfId="0" applyBorder="1" applyAlignment="1">
      <alignment horizontal="center" wrapText="1"/>
    </xf>
    <xf numFmtId="0" fontId="0" fillId="0" borderId="40" xfId="0" applyBorder="1" applyAlignment="1">
      <alignment horizontal="center" wrapText="1"/>
    </xf>
    <xf numFmtId="0" fontId="0" fillId="0" borderId="15" xfId="0" applyBorder="1" applyAlignment="1">
      <alignment horizontal="center" vertical="center" wrapText="1"/>
    </xf>
    <xf numFmtId="0" fontId="0" fillId="0" borderId="16" xfId="0" applyBorder="1" applyAlignment="1">
      <alignment horizontal="center" wrapText="1"/>
    </xf>
    <xf numFmtId="164" fontId="0" fillId="0" borderId="0" xfId="0" applyNumberFormat="1" applyBorder="1" applyAlignment="1">
      <alignment horizontal="center"/>
    </xf>
    <xf numFmtId="164" fontId="0" fillId="0" borderId="5" xfId="0" applyNumberFormat="1" applyBorder="1" applyAlignment="1">
      <alignment horizontal="center"/>
    </xf>
    <xf numFmtId="164" fontId="0" fillId="0" borderId="36" xfId="0" applyNumberFormat="1" applyBorder="1" applyAlignment="1">
      <alignment horizontal="center"/>
    </xf>
    <xf numFmtId="164" fontId="0" fillId="0" borderId="57" xfId="0" applyNumberFormat="1" applyBorder="1" applyAlignment="1">
      <alignment horizontal="center"/>
    </xf>
    <xf numFmtId="164" fontId="0" fillId="0" borderId="1" xfId="0" applyNumberFormat="1" applyBorder="1" applyAlignment="1">
      <alignment horizontal="center"/>
    </xf>
    <xf numFmtId="164" fontId="0" fillId="0" borderId="56" xfId="0" applyNumberFormat="1" applyBorder="1" applyAlignment="1">
      <alignment horizontal="center"/>
    </xf>
    <xf numFmtId="164" fontId="0" fillId="0" borderId="58" xfId="0" applyNumberFormat="1" applyBorder="1" applyAlignment="1">
      <alignment horizontal="center"/>
    </xf>
    <xf numFmtId="0" fontId="8" fillId="0" borderId="15" xfId="0" applyFont="1" applyBorder="1" applyAlignment="1">
      <alignment horizontal="center" vertical="top" wrapText="1"/>
    </xf>
    <xf numFmtId="0" fontId="8" fillId="0" borderId="9" xfId="0" applyFont="1" applyBorder="1" applyAlignment="1">
      <alignment horizontal="center"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22"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top" wrapText="1"/>
    </xf>
    <xf numFmtId="0" fontId="8" fillId="0" borderId="36" xfId="0" applyFont="1" applyBorder="1" applyAlignment="1">
      <alignment horizontal="center" vertical="top" wrapText="1"/>
    </xf>
    <xf numFmtId="0" fontId="7" fillId="0" borderId="21" xfId="0" applyFont="1" applyBorder="1" applyAlignment="1">
      <alignment horizontal="left" vertical="top"/>
    </xf>
    <xf numFmtId="167" fontId="7" fillId="0" borderId="0" xfId="0" applyNumberFormat="1" applyFont="1" applyBorder="1" applyAlignment="1">
      <alignment horizontal="center" vertical="top" wrapText="1"/>
    </xf>
    <xf numFmtId="167" fontId="7" fillId="0" borderId="22" xfId="0" applyNumberFormat="1" applyFont="1" applyBorder="1" applyAlignment="1">
      <alignment horizontal="center" vertical="top" wrapText="1"/>
    </xf>
    <xf numFmtId="167" fontId="7" fillId="0" borderId="66" xfId="0" applyNumberFormat="1" applyFont="1" applyBorder="1" applyAlignment="1">
      <alignment horizontal="center" vertical="top" wrapText="1"/>
    </xf>
    <xf numFmtId="167" fontId="7" fillId="0" borderId="67" xfId="0" applyNumberFormat="1" applyFont="1" applyBorder="1" applyAlignment="1">
      <alignment horizontal="center" vertical="top" wrapText="1"/>
    </xf>
    <xf numFmtId="167" fontId="7" fillId="0" borderId="0" xfId="0" applyNumberFormat="1" applyFont="1" applyFill="1" applyBorder="1" applyAlignment="1">
      <alignment horizontal="center" vertical="top" wrapText="1"/>
    </xf>
    <xf numFmtId="167" fontId="7" fillId="0" borderId="36" xfId="0" applyNumberFormat="1" applyFont="1" applyBorder="1" applyAlignment="1">
      <alignment horizontal="center" vertical="top" wrapText="1"/>
    </xf>
    <xf numFmtId="0" fontId="7" fillId="0" borderId="31" xfId="0" applyFont="1" applyBorder="1" applyAlignment="1">
      <alignment horizontal="left" vertical="top"/>
    </xf>
    <xf numFmtId="167" fontId="7" fillId="0" borderId="1" xfId="0" applyNumberFormat="1" applyFont="1" applyBorder="1" applyAlignment="1">
      <alignment horizontal="center" vertical="top" wrapText="1"/>
    </xf>
    <xf numFmtId="167" fontId="7" fillId="0" borderId="57" xfId="0" applyNumberFormat="1" applyFont="1" applyBorder="1" applyAlignment="1">
      <alignment horizontal="center" vertical="top" wrapText="1"/>
    </xf>
    <xf numFmtId="167" fontId="7" fillId="0" borderId="68" xfId="0" applyNumberFormat="1" applyFont="1" applyBorder="1" applyAlignment="1">
      <alignment horizontal="center" vertical="top" wrapText="1"/>
    </xf>
    <xf numFmtId="167" fontId="7" fillId="0" borderId="69" xfId="0" applyNumberFormat="1" applyFont="1" applyBorder="1" applyAlignment="1">
      <alignment horizontal="center" vertical="top" wrapText="1"/>
    </xf>
    <xf numFmtId="167" fontId="7" fillId="0" borderId="1" xfId="0" applyNumberFormat="1" applyFont="1" applyFill="1" applyBorder="1" applyAlignment="1">
      <alignment horizontal="center" vertical="top" wrapText="1"/>
    </xf>
    <xf numFmtId="167" fontId="7" fillId="0" borderId="58" xfId="0" applyNumberFormat="1" applyFont="1" applyBorder="1" applyAlignment="1">
      <alignment horizontal="center" vertical="top" wrapText="1"/>
    </xf>
    <xf numFmtId="0" fontId="0" fillId="0" borderId="0" xfId="0" applyFont="1" applyAlignment="1">
      <alignment horizontal="center"/>
    </xf>
    <xf numFmtId="0" fontId="7" fillId="0" borderId="0" xfId="0" applyFont="1" applyAlignment="1">
      <alignment horizontal="left" vertical="top"/>
    </xf>
    <xf numFmtId="0" fontId="0" fillId="0" borderId="0" xfId="0" applyFont="1" applyAlignment="1">
      <alignment wrapText="1"/>
    </xf>
    <xf numFmtId="0" fontId="2" fillId="0" borderId="11" xfId="0" applyFont="1" applyBorder="1" applyAlignment="1">
      <alignment horizontal="center" wrapText="1"/>
    </xf>
    <xf numFmtId="0" fontId="11" fillId="0" borderId="0" xfId="0" applyFont="1"/>
    <xf numFmtId="0" fontId="12" fillId="0" borderId="0" xfId="0" applyFont="1" applyAlignment="1">
      <alignment horizontal="center"/>
    </xf>
    <xf numFmtId="0" fontId="12" fillId="0" borderId="0" xfId="0" applyFont="1"/>
    <xf numFmtId="0" fontId="11" fillId="0" borderId="0" xfId="0" applyFont="1" applyAlignment="1">
      <alignment horizontal="left" vertical="center"/>
    </xf>
    <xf numFmtId="0" fontId="0" fillId="0" borderId="0" xfId="0" applyFont="1" applyAlignment="1">
      <alignment horizontal="left" vertical="center"/>
    </xf>
    <xf numFmtId="0" fontId="12" fillId="0" borderId="0" xfId="0" applyFont="1" applyAlignment="1">
      <alignment horizontal="left" vertical="center"/>
    </xf>
    <xf numFmtId="0" fontId="0" fillId="3" borderId="21" xfId="0" applyFont="1" applyFill="1" applyBorder="1" applyAlignment="1">
      <alignment horizontal="left" vertical="center" wrapText="1"/>
    </xf>
    <xf numFmtId="0" fontId="0" fillId="3" borderId="21" xfId="0" applyFont="1" applyFill="1" applyBorder="1" applyAlignment="1">
      <alignment horizontal="left" vertical="center"/>
    </xf>
    <xf numFmtId="0" fontId="0" fillId="3" borderId="0" xfId="0" applyFill="1" applyBorder="1"/>
    <xf numFmtId="0" fontId="0" fillId="0" borderId="1" xfId="0" applyFill="1" applyBorder="1"/>
    <xf numFmtId="0" fontId="0" fillId="0" borderId="40" xfId="0" applyBorder="1" applyAlignment="1">
      <alignment horizontal="center" vertical="center" wrapText="1"/>
    </xf>
    <xf numFmtId="0" fontId="0" fillId="0" borderId="37" xfId="0" applyBorder="1" applyAlignment="1">
      <alignment horizontal="center" vertical="center" wrapText="1"/>
    </xf>
    <xf numFmtId="164" fontId="0" fillId="0" borderId="21" xfId="0" applyNumberFormat="1" applyBorder="1"/>
    <xf numFmtId="164" fontId="0" fillId="0" borderId="21" xfId="0" applyNumberFormat="1" applyFill="1" applyBorder="1"/>
    <xf numFmtId="164" fontId="0" fillId="3" borderId="21" xfId="0" applyNumberFormat="1" applyFill="1" applyBorder="1"/>
    <xf numFmtId="164" fontId="0" fillId="0" borderId="31" xfId="0" applyNumberFormat="1" applyFill="1" applyBorder="1"/>
    <xf numFmtId="0" fontId="0" fillId="0" borderId="0" xfId="0" applyFont="1" applyAlignment="1">
      <alignment horizontal="left" vertical="center" wrapText="1"/>
    </xf>
    <xf numFmtId="0" fontId="9" fillId="0" borderId="0" xfId="0" applyFont="1"/>
    <xf numFmtId="3" fontId="0" fillId="0" borderId="21" xfId="0" applyNumberFormat="1" applyBorder="1"/>
    <xf numFmtId="3" fontId="0" fillId="0" borderId="21" xfId="0" applyNumberFormat="1" applyFill="1" applyBorder="1"/>
    <xf numFmtId="3" fontId="0" fillId="3" borderId="21" xfId="0" applyNumberFormat="1" applyFill="1" applyBorder="1"/>
    <xf numFmtId="3" fontId="0" fillId="0" borderId="31" xfId="0" applyNumberFormat="1" applyFill="1" applyBorder="1"/>
    <xf numFmtId="0" fontId="0" fillId="0" borderId="41" xfId="0" applyFill="1" applyBorder="1"/>
    <xf numFmtId="3" fontId="0" fillId="0" borderId="17" xfId="0" applyNumberFormat="1" applyFill="1" applyBorder="1"/>
    <xf numFmtId="3" fontId="0" fillId="0" borderId="41" xfId="0" applyNumberFormat="1" applyFill="1" applyBorder="1"/>
    <xf numFmtId="3" fontId="0" fillId="0" borderId="60" xfId="0" applyNumberFormat="1" applyFill="1" applyBorder="1"/>
    <xf numFmtId="0" fontId="0" fillId="0" borderId="42" xfId="0" applyFill="1" applyBorder="1"/>
    <xf numFmtId="3" fontId="0" fillId="0" borderId="14" xfId="0" applyNumberFormat="1" applyFill="1" applyBorder="1"/>
    <xf numFmtId="3" fontId="0" fillId="0" borderId="42" xfId="0" applyNumberFormat="1" applyFill="1" applyBorder="1"/>
    <xf numFmtId="3" fontId="0" fillId="0" borderId="72" xfId="0" applyNumberFormat="1" applyFill="1" applyBorder="1"/>
    <xf numFmtId="0" fontId="0" fillId="2" borderId="2" xfId="0" applyFill="1" applyBorder="1" applyAlignment="1"/>
    <xf numFmtId="0" fontId="0" fillId="2" borderId="47" xfId="0" applyFill="1" applyBorder="1" applyAlignment="1"/>
    <xf numFmtId="0" fontId="0" fillId="2" borderId="54" xfId="0" applyFill="1" applyBorder="1" applyAlignment="1"/>
    <xf numFmtId="0" fontId="0" fillId="2" borderId="18" xfId="0" applyFill="1" applyBorder="1" applyAlignment="1"/>
    <xf numFmtId="1" fontId="0" fillId="0" borderId="6" xfId="0" applyNumberFormat="1" applyBorder="1"/>
    <xf numFmtId="1" fontId="0" fillId="0" borderId="20" xfId="0" applyNumberFormat="1" applyBorder="1"/>
    <xf numFmtId="0" fontId="2" fillId="0" borderId="2" xfId="0" applyFont="1" applyBorder="1" applyAlignment="1">
      <alignment horizontal="center" vertical="center" wrapText="1"/>
    </xf>
    <xf numFmtId="0" fontId="2" fillId="2" borderId="2" xfId="0" applyFont="1" applyFill="1" applyBorder="1"/>
    <xf numFmtId="0" fontId="0" fillId="2" borderId="2" xfId="0" applyFill="1" applyBorder="1"/>
    <xf numFmtId="0" fontId="0" fillId="0" borderId="2" xfId="0" applyBorder="1" applyAlignment="1">
      <alignment horizontal="left" indent="2"/>
    </xf>
    <xf numFmtId="0" fontId="2" fillId="2" borderId="2" xfId="0" applyFont="1" applyFill="1" applyBorder="1" applyAlignment="1">
      <alignment wrapText="1"/>
    </xf>
    <xf numFmtId="0" fontId="2" fillId="0" borderId="2" xfId="0" applyFont="1" applyBorder="1" applyAlignment="1">
      <alignment horizontal="left"/>
    </xf>
    <xf numFmtId="0" fontId="2" fillId="2" borderId="2" xfId="0" applyNumberFormat="1" applyFont="1" applyFill="1" applyBorder="1"/>
    <xf numFmtId="0" fontId="2" fillId="2" borderId="0" xfId="0" applyNumberFormat="1" applyFont="1" applyFill="1" applyBorder="1"/>
    <xf numFmtId="0" fontId="2" fillId="2" borderId="36" xfId="0" applyNumberFormat="1" applyFont="1" applyFill="1" applyBorder="1"/>
    <xf numFmtId="0" fontId="2" fillId="2" borderId="18" xfId="0" applyNumberFormat="1" applyFont="1" applyFill="1" applyBorder="1"/>
    <xf numFmtId="0" fontId="7" fillId="0" borderId="0" xfId="0" applyFont="1" applyBorder="1" applyAlignment="1">
      <alignment horizontal="left" vertical="top"/>
    </xf>
    <xf numFmtId="3" fontId="0" fillId="0" borderId="42" xfId="0" applyNumberFormat="1" applyFont="1" applyBorder="1"/>
    <xf numFmtId="3" fontId="0" fillId="0" borderId="43" xfId="0" applyNumberFormat="1" applyFont="1" applyBorder="1"/>
    <xf numFmtId="3" fontId="0" fillId="0" borderId="0" xfId="0" applyNumberFormat="1" applyFont="1" applyBorder="1"/>
    <xf numFmtId="3" fontId="0" fillId="0" borderId="5" xfId="0" applyNumberFormat="1" applyFont="1" applyBorder="1"/>
    <xf numFmtId="3" fontId="0" fillId="0" borderId="41" xfId="0" applyNumberFormat="1" applyFont="1" applyBorder="1"/>
    <xf numFmtId="3" fontId="0" fillId="0" borderId="44" xfId="0" applyNumberFormat="1" applyFont="1" applyBorder="1"/>
    <xf numFmtId="3" fontId="2" fillId="0" borderId="10" xfId="0" applyNumberFormat="1" applyFont="1" applyFill="1" applyBorder="1"/>
    <xf numFmtId="3" fontId="2" fillId="0" borderId="30" xfId="0" applyNumberFormat="1" applyFont="1" applyFill="1" applyBorder="1"/>
    <xf numFmtId="0" fontId="2" fillId="0" borderId="51" xfId="0" applyFont="1" applyFill="1" applyBorder="1"/>
    <xf numFmtId="0" fontId="2" fillId="0" borderId="76" xfId="0" applyNumberFormat="1" applyFont="1" applyFill="1" applyBorder="1"/>
    <xf numFmtId="0" fontId="2" fillId="0" borderId="77" xfId="0" applyNumberFormat="1" applyFont="1" applyFill="1" applyBorder="1"/>
    <xf numFmtId="0" fontId="11" fillId="0" borderId="0" xfId="0" applyFont="1" applyFill="1"/>
    <xf numFmtId="0" fontId="0" fillId="2" borderId="9" xfId="0" applyFill="1" applyBorder="1" applyAlignment="1">
      <alignment horizontal="center"/>
    </xf>
    <xf numFmtId="0" fontId="0" fillId="2" borderId="18" xfId="0" applyFill="1" applyBorder="1" applyAlignment="1">
      <alignment horizontal="center"/>
    </xf>
    <xf numFmtId="0" fontId="0" fillId="2" borderId="2" xfId="0" applyFill="1" applyBorder="1" applyAlignment="1">
      <alignment horizontal="center" vertical="center" wrapText="1"/>
    </xf>
    <xf numFmtId="0" fontId="3" fillId="0" borderId="0" xfId="0" applyFont="1"/>
    <xf numFmtId="164" fontId="3" fillId="0" borderId="26" xfId="0" applyNumberFormat="1" applyFont="1" applyBorder="1" applyAlignment="1">
      <alignment horizontal="center"/>
    </xf>
    <xf numFmtId="0" fontId="4" fillId="0" borderId="0" xfId="0" applyFont="1"/>
    <xf numFmtId="164" fontId="3" fillId="0" borderId="27" xfId="0" applyNumberFormat="1" applyFont="1" applyBorder="1" applyAlignment="1">
      <alignment horizontal="center"/>
    </xf>
    <xf numFmtId="164" fontId="3" fillId="0" borderId="22" xfId="0" applyNumberFormat="1" applyFont="1" applyBorder="1" applyAlignment="1">
      <alignment horizontal="center"/>
    </xf>
    <xf numFmtId="164" fontId="3" fillId="0" borderId="23" xfId="0" applyNumberFormat="1" applyFont="1" applyBorder="1" applyAlignment="1">
      <alignment horizontal="center"/>
    </xf>
    <xf numFmtId="0" fontId="8" fillId="0" borderId="2" xfId="0" applyFont="1" applyBorder="1" applyAlignment="1">
      <alignment horizontal="center" vertical="top" wrapText="1"/>
    </xf>
    <xf numFmtId="0" fontId="8" fillId="0" borderId="40"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10" xfId="0" applyFont="1" applyBorder="1" applyAlignment="1">
      <alignment horizontal="center" vertical="top" wrapText="1"/>
    </xf>
    <xf numFmtId="0" fontId="0" fillId="0" borderId="8" xfId="0" applyFill="1" applyBorder="1" applyAlignment="1"/>
    <xf numFmtId="0" fontId="0" fillId="0" borderId="75" xfId="0" applyFont="1" applyFill="1" applyBorder="1"/>
    <xf numFmtId="0" fontId="0" fillId="0" borderId="37" xfId="0" applyFont="1" applyFill="1" applyBorder="1"/>
    <xf numFmtId="3" fontId="0" fillId="0" borderId="2" xfId="0" applyNumberFormat="1" applyFont="1" applyFill="1" applyBorder="1"/>
    <xf numFmtId="3" fontId="0" fillId="0" borderId="18" xfId="0" applyNumberFormat="1" applyFont="1" applyFill="1" applyBorder="1"/>
    <xf numFmtId="3" fontId="0" fillId="0" borderId="0" xfId="0" applyNumberFormat="1" applyFont="1" applyFill="1"/>
    <xf numFmtId="0" fontId="0" fillId="0" borderId="24" xfId="0" applyFont="1" applyFill="1" applyBorder="1"/>
    <xf numFmtId="3" fontId="0" fillId="0" borderId="6" xfId="0" applyNumberFormat="1" applyFont="1" applyFill="1" applyBorder="1"/>
    <xf numFmtId="3" fontId="0" fillId="0" borderId="20" xfId="0" applyNumberFormat="1" applyFont="1" applyFill="1" applyBorder="1"/>
    <xf numFmtId="0" fontId="0" fillId="2" borderId="37" xfId="0" applyFont="1" applyFill="1" applyBorder="1"/>
    <xf numFmtId="0" fontId="0" fillId="0" borderId="38" xfId="0" applyFont="1" applyFill="1" applyBorder="1"/>
    <xf numFmtId="3" fontId="0" fillId="0" borderId="8" xfId="0" applyNumberFormat="1" applyFont="1" applyFill="1" applyBorder="1"/>
    <xf numFmtId="3" fontId="0" fillId="0" borderId="39" xfId="0" applyNumberFormat="1" applyFont="1" applyFill="1" applyBorder="1"/>
    <xf numFmtId="3" fontId="0" fillId="0" borderId="0" xfId="0" applyNumberFormat="1" applyFont="1"/>
    <xf numFmtId="3" fontId="0" fillId="0" borderId="2" xfId="0" applyNumberFormat="1" applyBorder="1" applyAlignment="1">
      <alignment horizontal="center"/>
    </xf>
    <xf numFmtId="164" fontId="3" fillId="0" borderId="2" xfId="0" applyNumberFormat="1" applyFont="1" applyBorder="1" applyAlignment="1">
      <alignment horizontal="center" vertical="center"/>
    </xf>
    <xf numFmtId="3" fontId="0" fillId="0" borderId="2" xfId="0" applyNumberFormat="1" applyBorder="1" applyAlignment="1">
      <alignment horizontal="center" vertical="center"/>
    </xf>
    <xf numFmtId="3" fontId="0" fillId="0" borderId="18" xfId="0" applyNumberFormat="1" applyBorder="1" applyAlignment="1">
      <alignment horizontal="center"/>
    </xf>
    <xf numFmtId="3" fontId="0" fillId="0" borderId="18" xfId="0" applyNumberFormat="1" applyBorder="1" applyAlignment="1">
      <alignment horizontal="center" vertical="center"/>
    </xf>
    <xf numFmtId="164" fontId="3" fillId="0" borderId="18"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39" xfId="0" applyNumberFormat="1" applyFont="1" applyBorder="1" applyAlignment="1">
      <alignment horizontal="center" vertical="center"/>
    </xf>
    <xf numFmtId="3" fontId="0" fillId="0" borderId="40" xfId="0" applyNumberFormat="1" applyBorder="1" applyAlignment="1">
      <alignment horizontal="center"/>
    </xf>
    <xf numFmtId="164" fontId="3" fillId="0" borderId="40" xfId="0" applyNumberFormat="1" applyFont="1" applyBorder="1" applyAlignment="1">
      <alignment horizontal="center" vertical="center"/>
    </xf>
    <xf numFmtId="3" fontId="0" fillId="0" borderId="40" xfId="0" applyNumberFormat="1" applyBorder="1" applyAlignment="1">
      <alignment horizontal="center" vertical="center"/>
    </xf>
    <xf numFmtId="164" fontId="3" fillId="0" borderId="78" xfId="0" applyNumberFormat="1" applyFont="1" applyBorder="1" applyAlignment="1">
      <alignment horizontal="center" vertical="center"/>
    </xf>
    <xf numFmtId="164" fontId="3" fillId="0" borderId="43" xfId="0" applyNumberFormat="1" applyFont="1" applyBorder="1" applyAlignment="1">
      <alignment horizontal="center" vertical="center"/>
    </xf>
    <xf numFmtId="3" fontId="0" fillId="0" borderId="55" xfId="0" applyNumberFormat="1" applyFont="1" applyBorder="1" applyAlignment="1">
      <alignment horizontal="center" vertical="center"/>
    </xf>
    <xf numFmtId="3" fontId="0" fillId="0" borderId="47" xfId="0" applyNumberFormat="1" applyFont="1" applyBorder="1" applyAlignment="1">
      <alignment horizontal="center" vertical="center"/>
    </xf>
    <xf numFmtId="3" fontId="0" fillId="0" borderId="54" xfId="0" applyNumberFormat="1" applyFont="1" applyBorder="1" applyAlignment="1">
      <alignment horizontal="center" vertical="center"/>
    </xf>
    <xf numFmtId="164" fontId="3" fillId="0" borderId="6" xfId="0" applyNumberFormat="1" applyFont="1" applyBorder="1" applyAlignment="1">
      <alignment horizontal="center"/>
    </xf>
    <xf numFmtId="164" fontId="3" fillId="0" borderId="20" xfId="0" applyNumberFormat="1" applyFont="1" applyBorder="1" applyAlignment="1">
      <alignment horizontal="center"/>
    </xf>
    <xf numFmtId="3" fontId="0" fillId="0" borderId="55" xfId="0" applyNumberFormat="1" applyBorder="1" applyAlignment="1">
      <alignment horizontal="center" vertical="center"/>
    </xf>
    <xf numFmtId="3" fontId="0" fillId="0" borderId="47" xfId="0" applyNumberFormat="1" applyBorder="1" applyAlignment="1">
      <alignment horizontal="center" vertical="center"/>
    </xf>
    <xf numFmtId="3" fontId="0" fillId="0" borderId="54" xfId="0" applyNumberFormat="1" applyBorder="1" applyAlignment="1">
      <alignment horizontal="center" vertical="center"/>
    </xf>
    <xf numFmtId="0" fontId="0" fillId="0" borderId="18" xfId="0" applyBorder="1"/>
    <xf numFmtId="0" fontId="0" fillId="0" borderId="20" xfId="0" applyBorder="1"/>
    <xf numFmtId="0" fontId="0" fillId="0" borderId="0" xfId="0" applyAlignment="1">
      <alignment vertical="top" wrapText="1"/>
    </xf>
    <xf numFmtId="0" fontId="0" fillId="0" borderId="37" xfId="0" applyBorder="1" applyAlignment="1">
      <alignment horizontal="left" vertical="center" indent="2"/>
    </xf>
    <xf numFmtId="0" fontId="0" fillId="0" borderId="0" xfId="0" applyFont="1" applyBorder="1" applyAlignment="1">
      <alignment horizontal="left"/>
    </xf>
    <xf numFmtId="0" fontId="0" fillId="0" borderId="53" xfId="0" applyBorder="1" applyAlignment="1">
      <alignment horizontal="left" vertical="center"/>
    </xf>
    <xf numFmtId="0" fontId="0" fillId="0" borderId="38" xfId="0" applyBorder="1" applyAlignment="1">
      <alignment horizontal="left" vertical="center"/>
    </xf>
    <xf numFmtId="0" fontId="0" fillId="2" borderId="47" xfId="0" applyFill="1" applyBorder="1" applyAlignment="1">
      <alignment horizontal="center" wrapText="1"/>
    </xf>
    <xf numFmtId="0" fontId="0" fillId="2" borderId="54" xfId="0" applyFill="1" applyBorder="1" applyAlignment="1">
      <alignment horizontal="center" wrapText="1"/>
    </xf>
    <xf numFmtId="0" fontId="0" fillId="2" borderId="53"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4" xfId="0" applyFill="1" applyBorder="1" applyAlignment="1">
      <alignment horizontal="center" vertical="center" wrapText="1"/>
    </xf>
    <xf numFmtId="0" fontId="0" fillId="0" borderId="37" xfId="0" applyBorder="1" applyAlignment="1">
      <alignment horizontal="left" vertical="center"/>
    </xf>
    <xf numFmtId="0" fontId="0" fillId="0" borderId="24" xfId="0" applyBorder="1" applyAlignment="1">
      <alignment horizontal="left" vertical="center"/>
    </xf>
    <xf numFmtId="0" fontId="0" fillId="0" borderId="53" xfId="0" applyFont="1" applyBorder="1" applyAlignment="1">
      <alignment horizontal="left" vertical="center"/>
    </xf>
    <xf numFmtId="0" fontId="0" fillId="0" borderId="37" xfId="0" applyFont="1" applyBorder="1" applyAlignment="1">
      <alignment horizontal="left" vertical="center"/>
    </xf>
    <xf numFmtId="0" fontId="0" fillId="2" borderId="9" xfId="0" applyFill="1" applyBorder="1" applyAlignment="1">
      <alignment horizontal="center" wrapText="1"/>
    </xf>
    <xf numFmtId="0" fontId="0" fillId="2" borderId="40" xfId="0" applyFill="1" applyBorder="1" applyAlignment="1">
      <alignment horizont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0" xfId="0" applyBorder="1" applyAlignment="1">
      <alignment horizontal="left" wrapText="1"/>
    </xf>
    <xf numFmtId="0" fontId="0" fillId="0" borderId="0" xfId="0" applyAlignment="1">
      <alignment horizontal="left" wrapText="1"/>
    </xf>
    <xf numFmtId="0" fontId="0" fillId="0" borderId="38" xfId="0" applyBorder="1" applyAlignment="1">
      <alignment horizontal="left" vertical="center" indent="2"/>
    </xf>
    <xf numFmtId="0" fontId="0" fillId="0" borderId="14" xfId="0" applyBorder="1" applyAlignment="1">
      <alignment horizontal="center" vertical="center"/>
    </xf>
    <xf numFmtId="0" fontId="0" fillId="0" borderId="21" xfId="0" applyBorder="1" applyAlignment="1">
      <alignment horizontal="center" vertical="center"/>
    </xf>
    <xf numFmtId="0" fontId="0" fillId="2" borderId="45" xfId="0" applyFill="1" applyBorder="1" applyAlignment="1">
      <alignment horizontal="center"/>
    </xf>
    <xf numFmtId="0" fontId="0" fillId="2" borderId="17" xfId="0" applyFill="1" applyBorder="1" applyAlignment="1">
      <alignment horizontal="center"/>
    </xf>
    <xf numFmtId="0" fontId="0" fillId="2" borderId="34"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left"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7" xfId="0" applyFont="1" applyBorder="1" applyAlignment="1">
      <alignment horizontal="center"/>
    </xf>
    <xf numFmtId="0" fontId="2" fillId="0" borderId="48"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32" xfId="0" applyFont="1" applyBorder="1" applyAlignment="1">
      <alignment horizontal="center"/>
    </xf>
    <xf numFmtId="0" fontId="0" fillId="0" borderId="35" xfId="0" applyFont="1" applyBorder="1" applyAlignment="1">
      <alignment horizontal="center"/>
    </xf>
    <xf numFmtId="0" fontId="0" fillId="0" borderId="0" xfId="0" applyFont="1" applyAlignment="1">
      <alignment horizontal="left" wrapText="1"/>
    </xf>
    <xf numFmtId="0" fontId="0" fillId="0" borderId="0" xfId="0" applyAlignment="1">
      <alignment horizontal="left" vertical="top" wrapText="1"/>
    </xf>
    <xf numFmtId="0" fontId="2" fillId="0" borderId="3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xf>
    <xf numFmtId="0" fontId="2" fillId="0" borderId="23" xfId="0" applyFont="1" applyBorder="1" applyAlignment="1">
      <alignment horizontal="center" vertical="center"/>
    </xf>
    <xf numFmtId="0" fontId="0" fillId="0" borderId="32" xfId="0" applyBorder="1" applyAlignment="1">
      <alignment horizontal="center"/>
    </xf>
    <xf numFmtId="0" fontId="0" fillId="0" borderId="35" xfId="0" applyBorder="1" applyAlignment="1">
      <alignment horizontal="center"/>
    </xf>
    <xf numFmtId="0" fontId="0" fillId="0" borderId="0" xfId="0" applyFont="1" applyFill="1" applyBorder="1" applyAlignment="1">
      <alignment horizontal="left" vertical="top" wrapText="1"/>
    </xf>
    <xf numFmtId="0" fontId="0" fillId="0" borderId="35" xfId="0" applyBorder="1" applyAlignment="1">
      <alignment horizontal="center" wrapText="1"/>
    </xf>
    <xf numFmtId="0" fontId="0" fillId="0" borderId="53"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5" xfId="0" applyBorder="1" applyAlignment="1">
      <alignment horizontal="center" vertical="center" wrapText="1"/>
    </xf>
    <xf numFmtId="0" fontId="0" fillId="0" borderId="21" xfId="0" applyBorder="1" applyAlignment="1">
      <alignment horizontal="center" vertical="center" wrapText="1"/>
    </xf>
    <xf numFmtId="0" fontId="0" fillId="0" borderId="73" xfId="0" applyBorder="1" applyAlignment="1">
      <alignment horizontal="center" wrapText="1"/>
    </xf>
    <xf numFmtId="0" fontId="0" fillId="0" borderId="74" xfId="0" applyBorder="1" applyAlignment="1">
      <alignment horizontal="center" wrapText="1"/>
    </xf>
    <xf numFmtId="0" fontId="13" fillId="0" borderId="55"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4"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21" xfId="0" applyFont="1" applyBorder="1" applyAlignment="1">
      <alignment horizontal="left" vertical="center" wrapText="1"/>
    </xf>
    <xf numFmtId="0" fontId="0" fillId="0" borderId="17"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53"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31" xfId="0" applyFont="1" applyBorder="1" applyAlignment="1">
      <alignment horizontal="left"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1" xfId="0" applyFont="1" applyFill="1" applyBorder="1" applyAlignment="1">
      <alignment horizontal="center" vertical="center"/>
    </xf>
    <xf numFmtId="0" fontId="0" fillId="0" borderId="45"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0" fillId="0" borderId="12" xfId="0" applyBorder="1" applyAlignment="1">
      <alignment horizontal="center"/>
    </xf>
    <xf numFmtId="0" fontId="0" fillId="0" borderId="55" xfId="0" applyBorder="1" applyAlignment="1">
      <alignment horizontal="center"/>
    </xf>
    <xf numFmtId="0" fontId="0" fillId="0" borderId="13" xfId="0" applyBorder="1" applyAlignment="1">
      <alignment horizontal="center"/>
    </xf>
    <xf numFmtId="0" fontId="0" fillId="0" borderId="51" xfId="0" applyBorder="1" applyAlignment="1">
      <alignment horizontal="center"/>
    </xf>
    <xf numFmtId="0" fontId="8" fillId="0" borderId="46" xfId="0" applyFont="1" applyBorder="1" applyAlignment="1">
      <alignment horizontal="center" vertical="top" wrapText="1"/>
    </xf>
    <xf numFmtId="0" fontId="8" fillId="0" borderId="41" xfId="0" applyFont="1" applyBorder="1" applyAlignment="1">
      <alignment horizontal="center" vertical="top" wrapText="1"/>
    </xf>
    <xf numFmtId="0" fontId="8" fillId="0" borderId="61" xfId="0" applyFont="1" applyBorder="1" applyAlignment="1">
      <alignment horizontal="center" vertical="top" wrapText="1"/>
    </xf>
    <xf numFmtId="0" fontId="8" fillId="0" borderId="64" xfId="0" applyFont="1" applyBorder="1" applyAlignment="1">
      <alignment horizontal="center" vertical="top" wrapText="1"/>
    </xf>
    <xf numFmtId="0" fontId="8" fillId="0" borderId="15" xfId="0" applyFont="1" applyBorder="1" applyAlignment="1">
      <alignment horizontal="center" vertical="top" wrapText="1"/>
    </xf>
    <xf numFmtId="0" fontId="8" fillId="0" borderId="9" xfId="0" applyFont="1" applyBorder="1" applyAlignment="1">
      <alignment horizontal="center" vertical="top" wrapText="1"/>
    </xf>
    <xf numFmtId="0" fontId="8" fillId="0" borderId="65" xfId="0" applyFont="1" applyBorder="1" applyAlignment="1">
      <alignment horizontal="center" vertical="top" wrapText="1"/>
    </xf>
    <xf numFmtId="0" fontId="7" fillId="0" borderId="0" xfId="0" applyFont="1" applyBorder="1" applyAlignment="1">
      <alignment horizontal="left" vertical="top"/>
    </xf>
    <xf numFmtId="0" fontId="7" fillId="0" borderId="14" xfId="0" applyFont="1" applyBorder="1" applyAlignment="1">
      <alignment horizontal="center" vertical="top"/>
    </xf>
    <xf numFmtId="0" fontId="7" fillId="0" borderId="21" xfId="0" applyFont="1" applyBorder="1" applyAlignment="1">
      <alignment horizontal="center" vertical="top"/>
    </xf>
    <xf numFmtId="0" fontId="8" fillId="2" borderId="71" xfId="0" applyFont="1" applyFill="1" applyBorder="1" applyAlignment="1">
      <alignment horizontal="center" vertical="top" wrapText="1"/>
    </xf>
    <xf numFmtId="0" fontId="8" fillId="2" borderId="62" xfId="0" applyFont="1" applyFill="1" applyBorder="1" applyAlignment="1">
      <alignment horizontal="center" vertical="top" wrapText="1"/>
    </xf>
    <xf numFmtId="0" fontId="8" fillId="2" borderId="70" xfId="0" applyFont="1" applyFill="1" applyBorder="1" applyAlignment="1">
      <alignment horizontal="center" vertical="top" wrapText="1"/>
    </xf>
    <xf numFmtId="0" fontId="8" fillId="0" borderId="16" xfId="0" applyFont="1" applyBorder="1" applyAlignment="1">
      <alignment horizontal="center" vertical="top" wrapText="1"/>
    </xf>
    <xf numFmtId="0" fontId="8" fillId="0" borderId="63" xfId="0" applyFont="1" applyBorder="1" applyAlignment="1">
      <alignment horizontal="center" vertical="top"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wrapText="1"/>
    </xf>
    <xf numFmtId="0" fontId="2" fillId="0" borderId="34" xfId="0" applyFont="1" applyBorder="1" applyAlignment="1">
      <alignment horizontal="center" wrapText="1"/>
    </xf>
    <xf numFmtId="0" fontId="2" fillId="0" borderId="55" xfId="0" applyFont="1" applyBorder="1" applyAlignment="1">
      <alignment horizontal="center" wrapText="1"/>
    </xf>
    <xf numFmtId="0" fontId="2" fillId="0" borderId="13" xfId="0" applyFont="1" applyBorder="1" applyAlignment="1">
      <alignment horizontal="center" wrapText="1"/>
    </xf>
    <xf numFmtId="0" fontId="2" fillId="0" borderId="53" xfId="0" applyFont="1" applyBorder="1" applyAlignment="1">
      <alignment horizontal="center" vertical="center" wrapText="1"/>
    </xf>
    <xf numFmtId="38" fontId="2" fillId="0" borderId="47" xfId="0" applyNumberFormat="1" applyFont="1" applyBorder="1" applyAlignment="1">
      <alignment horizontal="center" vertical="center"/>
    </xf>
    <xf numFmtId="38" fontId="2" fillId="0" borderId="6" xfId="0" applyNumberFormat="1" applyFont="1" applyBorder="1" applyAlignment="1">
      <alignment horizontal="center" vertical="center"/>
    </xf>
    <xf numFmtId="38" fontId="2" fillId="0" borderId="47" xfId="0" applyNumberFormat="1" applyFont="1" applyBorder="1" applyAlignment="1">
      <alignment horizontal="center"/>
    </xf>
    <xf numFmtId="0" fontId="2" fillId="0" borderId="47" xfId="0" applyFont="1" applyBorder="1" applyAlignment="1">
      <alignment horizontal="center" wrapText="1"/>
    </xf>
    <xf numFmtId="0" fontId="2" fillId="0" borderId="54" xfId="0" applyFont="1" applyBorder="1" applyAlignment="1">
      <alignment horizontal="center"/>
    </xf>
  </cellXfs>
  <cellStyles count="5">
    <cellStyle name="Comma" xfId="1" builtinId="3"/>
    <cellStyle name="Normal" xfId="0" builtinId="0"/>
    <cellStyle name="Normal 2" xfId="2"/>
    <cellStyle name="Normal 3" xfId="3"/>
    <cellStyle name="Not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B35" sqref="B35"/>
    </sheetView>
  </sheetViews>
  <sheetFormatPr defaultRowHeight="15" x14ac:dyDescent="0.25"/>
  <cols>
    <col min="1" max="1" width="11" customWidth="1"/>
    <col min="2" max="2" width="154.140625" customWidth="1"/>
    <col min="3" max="3" width="31.85546875" bestFit="1" customWidth="1"/>
  </cols>
  <sheetData>
    <row r="1" spans="1:3" x14ac:dyDescent="0.25">
      <c r="B1" s="10" t="s">
        <v>81</v>
      </c>
    </row>
    <row r="3" spans="1:3" x14ac:dyDescent="0.25">
      <c r="B3" t="s">
        <v>88</v>
      </c>
    </row>
    <row r="4" spans="1:3" x14ac:dyDescent="0.25">
      <c r="A4" s="19"/>
      <c r="B4" s="19"/>
    </row>
    <row r="5" spans="1:3" x14ac:dyDescent="0.25">
      <c r="A5" s="19" t="s">
        <v>75</v>
      </c>
      <c r="B5" s="19" t="s">
        <v>124</v>
      </c>
      <c r="C5" s="9"/>
    </row>
    <row r="6" spans="1:3" x14ac:dyDescent="0.25">
      <c r="A6" s="19" t="s">
        <v>76</v>
      </c>
      <c r="B6" s="19" t="s">
        <v>123</v>
      </c>
      <c r="C6" s="9"/>
    </row>
    <row r="7" spans="1:3" s="58" customFormat="1" x14ac:dyDescent="0.25">
      <c r="A7" s="19" t="s">
        <v>77</v>
      </c>
      <c r="B7" s="19" t="s">
        <v>698</v>
      </c>
    </row>
    <row r="8" spans="1:3" x14ac:dyDescent="0.25">
      <c r="A8" s="19" t="s">
        <v>78</v>
      </c>
      <c r="B8" s="20" t="s">
        <v>699</v>
      </c>
      <c r="C8" s="19"/>
    </row>
    <row r="9" spans="1:3" s="58" customFormat="1" x14ac:dyDescent="0.25">
      <c r="A9" s="19" t="s">
        <v>79</v>
      </c>
      <c r="B9" s="19" t="s">
        <v>159</v>
      </c>
    </row>
    <row r="10" spans="1:3" x14ac:dyDescent="0.25">
      <c r="A10" s="19" t="s">
        <v>80</v>
      </c>
      <c r="B10" s="20" t="s">
        <v>83</v>
      </c>
      <c r="C10" s="9"/>
    </row>
    <row r="11" spans="1:3" x14ac:dyDescent="0.25">
      <c r="A11" s="19" t="s">
        <v>84</v>
      </c>
      <c r="B11" s="20" t="s">
        <v>85</v>
      </c>
      <c r="C11" s="9"/>
    </row>
    <row r="12" spans="1:3" x14ac:dyDescent="0.25">
      <c r="A12" s="19" t="s">
        <v>110</v>
      </c>
      <c r="B12" s="19" t="s">
        <v>86</v>
      </c>
      <c r="C12" s="9"/>
    </row>
    <row r="13" spans="1:3" x14ac:dyDescent="0.25">
      <c r="A13" s="19" t="s">
        <v>111</v>
      </c>
      <c r="B13" t="s">
        <v>162</v>
      </c>
    </row>
    <row r="14" spans="1:3" x14ac:dyDescent="0.25">
      <c r="A14" s="19" t="s">
        <v>151</v>
      </c>
      <c r="B14" t="s">
        <v>165</v>
      </c>
      <c r="C14" s="19"/>
    </row>
    <row r="15" spans="1:3" x14ac:dyDescent="0.25">
      <c r="A15" s="19" t="s">
        <v>152</v>
      </c>
      <c r="B15" t="s">
        <v>185</v>
      </c>
      <c r="C15" s="95"/>
    </row>
    <row r="16" spans="1:3" s="58" customFormat="1" x14ac:dyDescent="0.25">
      <c r="A16" s="19" t="s">
        <v>164</v>
      </c>
      <c r="B16" s="58" t="s">
        <v>295</v>
      </c>
      <c r="C16" s="95"/>
    </row>
    <row r="17" spans="1:3" s="58" customFormat="1" x14ac:dyDescent="0.25">
      <c r="A17" s="19" t="s">
        <v>184</v>
      </c>
      <c r="B17" s="58" t="s">
        <v>297</v>
      </c>
      <c r="C17" s="95"/>
    </row>
    <row r="18" spans="1:3" s="58" customFormat="1" x14ac:dyDescent="0.25">
      <c r="A18" s="19" t="s">
        <v>200</v>
      </c>
      <c r="B18" s="58" t="s">
        <v>684</v>
      </c>
      <c r="C18" s="95"/>
    </row>
    <row r="19" spans="1:3" x14ac:dyDescent="0.25">
      <c r="A19" s="19" t="s">
        <v>234</v>
      </c>
      <c r="B19" s="20" t="s">
        <v>82</v>
      </c>
      <c r="C19" s="95"/>
    </row>
    <row r="20" spans="1:3" x14ac:dyDescent="0.25">
      <c r="A20" s="19" t="s">
        <v>235</v>
      </c>
      <c r="B20" s="20" t="s">
        <v>724</v>
      </c>
      <c r="C20" s="95"/>
    </row>
    <row r="21" spans="1:3" x14ac:dyDescent="0.25">
      <c r="A21" s="19" t="s">
        <v>236</v>
      </c>
      <c r="B21" s="20" t="s">
        <v>199</v>
      </c>
      <c r="C21" s="95"/>
    </row>
    <row r="22" spans="1:3" x14ac:dyDescent="0.25">
      <c r="C22" s="19"/>
    </row>
    <row r="25" spans="1:3" x14ac:dyDescent="0.25">
      <c r="B25" s="1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J24" sqref="J24"/>
    </sheetView>
  </sheetViews>
  <sheetFormatPr defaultRowHeight="15" x14ac:dyDescent="0.25"/>
  <cols>
    <col min="1" max="1" width="12.5703125" style="58" customWidth="1"/>
    <col min="2" max="2" width="20.7109375" style="9" bestFit="1" customWidth="1"/>
    <col min="3" max="4" width="13.42578125" style="9" customWidth="1"/>
    <col min="5" max="5" width="14.28515625" style="9" customWidth="1"/>
    <col min="6" max="7" width="9.140625" style="9"/>
    <col min="8" max="8" width="12.42578125" style="9" customWidth="1"/>
    <col min="9" max="9" width="18.42578125" style="9" bestFit="1" customWidth="1"/>
    <col min="10" max="10" width="17.85546875" style="9" customWidth="1"/>
    <col min="11" max="11" width="9.85546875" style="9" customWidth="1"/>
    <col min="12" max="16384" width="9.140625" style="9"/>
  </cols>
  <sheetData>
    <row r="1" spans="1:13" ht="15.75" x14ac:dyDescent="0.25">
      <c r="A1" s="217" t="s">
        <v>693</v>
      </c>
    </row>
    <row r="2" spans="1:13" s="58" customFormat="1" ht="15.75" x14ac:dyDescent="0.25">
      <c r="B2" s="217"/>
    </row>
    <row r="3" spans="1:13" ht="15.75" thickBot="1" x14ac:dyDescent="0.3">
      <c r="A3" s="16" t="s">
        <v>689</v>
      </c>
    </row>
    <row r="4" spans="1:13" x14ac:dyDescent="0.25">
      <c r="A4" s="396"/>
      <c r="B4" s="41"/>
      <c r="C4" s="42"/>
      <c r="D4" s="43"/>
      <c r="E4" s="44"/>
      <c r="F4" s="44"/>
      <c r="G4" s="44" t="s">
        <v>125</v>
      </c>
      <c r="H4" s="44"/>
      <c r="I4" s="44"/>
      <c r="J4" s="44"/>
      <c r="K4" s="45"/>
    </row>
    <row r="5" spans="1:13" x14ac:dyDescent="0.25">
      <c r="A5" s="397"/>
      <c r="B5" s="390" t="s">
        <v>126</v>
      </c>
      <c r="C5" s="46" t="s">
        <v>127</v>
      </c>
      <c r="D5" s="47" t="s">
        <v>4</v>
      </c>
      <c r="E5" s="47" t="s">
        <v>128</v>
      </c>
      <c r="F5" s="47" t="s">
        <v>129</v>
      </c>
      <c r="G5" s="47" t="s">
        <v>130</v>
      </c>
      <c r="H5" s="47" t="s">
        <v>131</v>
      </c>
      <c r="I5" s="47" t="s">
        <v>132</v>
      </c>
      <c r="J5" s="47" t="s">
        <v>133</v>
      </c>
      <c r="K5" s="48" t="s">
        <v>74</v>
      </c>
    </row>
    <row r="6" spans="1:13" ht="15.75" thickBot="1" x14ac:dyDescent="0.3">
      <c r="A6" s="397"/>
      <c r="B6" s="390"/>
      <c r="C6" s="49" t="s">
        <v>134</v>
      </c>
      <c r="D6" s="46"/>
      <c r="E6" s="46"/>
      <c r="F6" s="46"/>
      <c r="G6" s="46"/>
      <c r="H6" s="46"/>
      <c r="I6" s="46" t="s">
        <v>135</v>
      </c>
      <c r="J6" s="46"/>
      <c r="K6" s="48"/>
    </row>
    <row r="7" spans="1:13" x14ac:dyDescent="0.25">
      <c r="A7" s="394" t="s">
        <v>692</v>
      </c>
      <c r="B7" s="248" t="s">
        <v>691</v>
      </c>
      <c r="C7" s="248"/>
      <c r="D7" s="248"/>
      <c r="E7" s="248"/>
      <c r="F7" s="248"/>
      <c r="G7" s="248"/>
      <c r="H7" s="248"/>
      <c r="I7" s="248"/>
      <c r="J7" s="248"/>
      <c r="K7" s="249"/>
    </row>
    <row r="8" spans="1:13" x14ac:dyDescent="0.25">
      <c r="A8" s="395"/>
      <c r="B8" s="12" t="s">
        <v>136</v>
      </c>
      <c r="C8" s="51">
        <v>259.2</v>
      </c>
      <c r="D8" s="51">
        <v>1099.18</v>
      </c>
      <c r="E8" s="51">
        <v>201.09</v>
      </c>
      <c r="F8" s="51">
        <v>333.19</v>
      </c>
      <c r="G8" s="51">
        <v>22.556000000000001</v>
      </c>
      <c r="H8" s="51">
        <v>124.917</v>
      </c>
      <c r="I8" s="51">
        <v>117.45</v>
      </c>
      <c r="J8" s="51">
        <v>64.917000000000002</v>
      </c>
      <c r="K8" s="52">
        <v>235.06000000000017</v>
      </c>
      <c r="L8" s="53"/>
      <c r="M8" s="53"/>
    </row>
    <row r="9" spans="1:13" x14ac:dyDescent="0.25">
      <c r="A9" s="395"/>
      <c r="B9" s="12" t="s">
        <v>137</v>
      </c>
      <c r="C9" s="51">
        <v>516.26</v>
      </c>
      <c r="D9" s="51">
        <v>817.69</v>
      </c>
      <c r="E9" s="51">
        <v>144.28</v>
      </c>
      <c r="F9" s="51">
        <v>277.07</v>
      </c>
      <c r="G9" s="51">
        <v>20.129000000000001</v>
      </c>
      <c r="H9" s="51">
        <v>72.186999999999998</v>
      </c>
      <c r="I9" s="51">
        <v>78.349999999999994</v>
      </c>
      <c r="J9" s="51">
        <v>54.564</v>
      </c>
      <c r="K9" s="52">
        <v>171.11000000000013</v>
      </c>
      <c r="L9" s="53"/>
      <c r="M9" s="53"/>
    </row>
    <row r="10" spans="1:13" x14ac:dyDescent="0.25">
      <c r="A10" s="395"/>
      <c r="B10" s="12" t="s">
        <v>138</v>
      </c>
      <c r="C10" s="51">
        <v>730.33</v>
      </c>
      <c r="D10" s="51">
        <v>490.05000000000007</v>
      </c>
      <c r="E10" s="51">
        <v>73.89</v>
      </c>
      <c r="F10" s="51">
        <v>197.35</v>
      </c>
      <c r="G10" s="51">
        <v>8.4380000000000006</v>
      </c>
      <c r="H10" s="51">
        <v>41.133000000000003</v>
      </c>
      <c r="I10" s="51">
        <v>33.81</v>
      </c>
      <c r="J10" s="51">
        <v>34.966999999999999</v>
      </c>
      <c r="K10" s="52">
        <v>100.46199999999999</v>
      </c>
      <c r="L10" s="53"/>
      <c r="M10" s="53"/>
    </row>
    <row r="11" spans="1:13" x14ac:dyDescent="0.25">
      <c r="A11" s="395"/>
      <c r="B11" s="12" t="s">
        <v>26</v>
      </c>
      <c r="C11" s="51">
        <v>442.04</v>
      </c>
      <c r="D11" s="51">
        <v>881.31</v>
      </c>
      <c r="E11" s="51">
        <v>156.31</v>
      </c>
      <c r="F11" s="51">
        <v>287.02999999999997</v>
      </c>
      <c r="G11" s="51">
        <v>18.998999999999999</v>
      </c>
      <c r="H11" s="51">
        <v>89.844999999999999</v>
      </c>
      <c r="I11" s="51">
        <v>87.37</v>
      </c>
      <c r="J11" s="51">
        <v>55.475000000000001</v>
      </c>
      <c r="K11" s="52">
        <v>186.28099999999995</v>
      </c>
      <c r="L11" s="53"/>
      <c r="M11" s="53"/>
    </row>
    <row r="12" spans="1:13" x14ac:dyDescent="0.25">
      <c r="A12" s="395"/>
      <c r="B12" s="247" t="s">
        <v>139</v>
      </c>
      <c r="C12" s="247"/>
      <c r="D12" s="247"/>
      <c r="E12" s="247"/>
      <c r="F12" s="247"/>
      <c r="G12" s="247"/>
      <c r="H12" s="247"/>
      <c r="I12" s="247"/>
      <c r="J12" s="247"/>
      <c r="K12" s="250"/>
      <c r="L12" s="53"/>
      <c r="M12" s="53"/>
    </row>
    <row r="13" spans="1:13" ht="13.5" customHeight="1" x14ac:dyDescent="0.25">
      <c r="A13" s="395"/>
      <c r="B13" s="12" t="s">
        <v>136</v>
      </c>
      <c r="C13" s="51">
        <v>271.61</v>
      </c>
      <c r="D13" s="51">
        <v>1087.69</v>
      </c>
      <c r="E13" s="51">
        <v>167.83</v>
      </c>
      <c r="F13" s="51">
        <v>339.20400000000001</v>
      </c>
      <c r="G13" s="51">
        <v>20.224</v>
      </c>
      <c r="H13" s="51">
        <v>220.52799999999999</v>
      </c>
      <c r="I13" s="51">
        <v>36.259</v>
      </c>
      <c r="J13" s="51">
        <v>69.606999999999999</v>
      </c>
      <c r="K13" s="52">
        <v>234.03800000000001</v>
      </c>
      <c r="L13" s="53"/>
      <c r="M13" s="53"/>
    </row>
    <row r="14" spans="1:13" x14ac:dyDescent="0.25">
      <c r="A14" s="395"/>
      <c r="B14" s="12" t="s">
        <v>137</v>
      </c>
      <c r="C14" s="51">
        <v>498.92</v>
      </c>
      <c r="D14" s="51">
        <v>791.14999999999986</v>
      </c>
      <c r="E14" s="51">
        <v>123.47</v>
      </c>
      <c r="F14" s="51">
        <v>265.77699999999999</v>
      </c>
      <c r="G14" s="51">
        <v>16.067</v>
      </c>
      <c r="H14" s="51">
        <v>154.13800000000001</v>
      </c>
      <c r="I14" s="51">
        <v>19.212</v>
      </c>
      <c r="J14" s="51">
        <v>54.052999999999997</v>
      </c>
      <c r="K14" s="52">
        <v>158.43300000000022</v>
      </c>
      <c r="L14" s="53"/>
      <c r="M14" s="53"/>
    </row>
    <row r="15" spans="1:13" x14ac:dyDescent="0.25">
      <c r="A15" s="395"/>
      <c r="B15" s="12" t="s">
        <v>138</v>
      </c>
      <c r="C15" s="51">
        <v>720.27</v>
      </c>
      <c r="D15" s="51">
        <v>443.75</v>
      </c>
      <c r="E15" s="51">
        <v>41.43</v>
      </c>
      <c r="F15" s="51">
        <v>194.191</v>
      </c>
      <c r="G15" s="51">
        <v>13.128</v>
      </c>
      <c r="H15" s="51">
        <v>104.52</v>
      </c>
      <c r="I15" s="51">
        <v>11.920999999999999</v>
      </c>
      <c r="J15" s="51">
        <v>31.809000000000001</v>
      </c>
      <c r="K15" s="52">
        <v>46.750999999999976</v>
      </c>
      <c r="L15" s="53"/>
      <c r="M15" s="53"/>
    </row>
    <row r="16" spans="1:13" x14ac:dyDescent="0.25">
      <c r="A16" s="395"/>
      <c r="B16" s="12" t="s">
        <v>26</v>
      </c>
      <c r="C16" s="51">
        <v>422.43</v>
      </c>
      <c r="D16" s="51">
        <v>881.6099999999999</v>
      </c>
      <c r="E16" s="51">
        <v>132.22</v>
      </c>
      <c r="F16" s="51">
        <v>290.47000000000003</v>
      </c>
      <c r="G16" s="51">
        <v>17.641999999999999</v>
      </c>
      <c r="H16" s="51">
        <v>178.869</v>
      </c>
      <c r="I16" s="51">
        <v>26.428999999999998</v>
      </c>
      <c r="J16" s="51">
        <v>58.158000000000001</v>
      </c>
      <c r="K16" s="52">
        <v>177.82199999999989</v>
      </c>
      <c r="L16" s="53"/>
      <c r="M16" s="53"/>
    </row>
    <row r="17" spans="1:13" x14ac:dyDescent="0.25">
      <c r="A17" s="395"/>
      <c r="B17" s="247" t="s">
        <v>47</v>
      </c>
      <c r="C17" s="247"/>
      <c r="D17" s="247"/>
      <c r="E17" s="247"/>
      <c r="F17" s="247"/>
      <c r="G17" s="247"/>
      <c r="H17" s="247"/>
      <c r="I17" s="247"/>
      <c r="J17" s="247"/>
      <c r="K17" s="250"/>
      <c r="L17" s="53"/>
      <c r="M17" s="53"/>
    </row>
    <row r="18" spans="1:13" x14ac:dyDescent="0.25">
      <c r="A18" s="395"/>
      <c r="B18" s="12" t="s">
        <v>136</v>
      </c>
      <c r="C18" s="51">
        <v>260.7</v>
      </c>
      <c r="D18" s="51">
        <v>1034.4199999999998</v>
      </c>
      <c r="E18" s="51">
        <v>134.04</v>
      </c>
      <c r="F18" s="51">
        <v>290.88099999999997</v>
      </c>
      <c r="G18" s="51">
        <v>12.042999999999999</v>
      </c>
      <c r="H18" s="51">
        <v>267.02100000000002</v>
      </c>
      <c r="I18" s="51">
        <v>16.852</v>
      </c>
      <c r="J18" s="51">
        <v>61.825000000000003</v>
      </c>
      <c r="K18" s="52">
        <v>251.75800000000004</v>
      </c>
      <c r="L18" s="53"/>
      <c r="M18" s="53"/>
    </row>
    <row r="19" spans="1:13" x14ac:dyDescent="0.25">
      <c r="A19" s="395"/>
      <c r="B19" s="12" t="s">
        <v>137</v>
      </c>
      <c r="C19" s="51">
        <v>473.37</v>
      </c>
      <c r="D19" s="51">
        <v>754.89</v>
      </c>
      <c r="E19" s="51">
        <v>83.66</v>
      </c>
      <c r="F19" s="51">
        <v>245.02799999999999</v>
      </c>
      <c r="G19" s="51">
        <v>10.47</v>
      </c>
      <c r="H19" s="51">
        <v>197.721</v>
      </c>
      <c r="I19" s="51">
        <v>9.4109999999999996</v>
      </c>
      <c r="J19" s="51">
        <v>53.338000000000001</v>
      </c>
      <c r="K19" s="52">
        <v>155.26199999999994</v>
      </c>
      <c r="L19" s="53"/>
      <c r="M19" s="53"/>
    </row>
    <row r="20" spans="1:13" x14ac:dyDescent="0.25">
      <c r="A20" s="395"/>
      <c r="B20" s="12" t="s">
        <v>138</v>
      </c>
      <c r="C20" s="51">
        <v>756.41</v>
      </c>
      <c r="D20" s="51">
        <v>429.4</v>
      </c>
      <c r="E20" s="51">
        <v>28.18</v>
      </c>
      <c r="F20" s="51">
        <v>154.91800000000001</v>
      </c>
      <c r="G20" s="51">
        <v>7.2439999999999998</v>
      </c>
      <c r="H20" s="51">
        <v>109.59699999999999</v>
      </c>
      <c r="I20" s="51">
        <v>1.972</v>
      </c>
      <c r="J20" s="51">
        <v>39.417000000000002</v>
      </c>
      <c r="K20" s="52">
        <v>88.072000000000116</v>
      </c>
      <c r="L20" s="53"/>
      <c r="M20" s="53"/>
    </row>
    <row r="21" spans="1:13" ht="15.75" thickBot="1" x14ac:dyDescent="0.3">
      <c r="A21" s="395"/>
      <c r="B21" s="21" t="s">
        <v>26</v>
      </c>
      <c r="C21" s="251">
        <v>413.67</v>
      </c>
      <c r="D21" s="251">
        <v>841.44999999999982</v>
      </c>
      <c r="E21" s="251">
        <v>99.81</v>
      </c>
      <c r="F21" s="251">
        <v>252.84399999999999</v>
      </c>
      <c r="G21" s="251">
        <v>10.715</v>
      </c>
      <c r="H21" s="251">
        <v>217.89099999999999</v>
      </c>
      <c r="I21" s="251">
        <v>11.929</v>
      </c>
      <c r="J21" s="251">
        <v>55.264000000000003</v>
      </c>
      <c r="K21" s="252">
        <v>192.99699999999984</v>
      </c>
      <c r="L21" s="53"/>
      <c r="M21" s="53"/>
    </row>
    <row r="22" spans="1:13" x14ac:dyDescent="0.25">
      <c r="A22" s="391" t="s">
        <v>690</v>
      </c>
      <c r="B22" s="248" t="s">
        <v>691</v>
      </c>
      <c r="C22" s="248"/>
      <c r="D22" s="248"/>
      <c r="E22" s="248"/>
      <c r="F22" s="248"/>
      <c r="G22" s="248"/>
      <c r="H22" s="248"/>
      <c r="I22" s="248"/>
      <c r="J22" s="248"/>
      <c r="K22" s="249"/>
    </row>
    <row r="23" spans="1:13" x14ac:dyDescent="0.25">
      <c r="A23" s="392"/>
      <c r="B23" s="12" t="s">
        <v>136</v>
      </c>
      <c r="C23" s="51">
        <v>804.96</v>
      </c>
      <c r="D23" s="51">
        <v>4479.53</v>
      </c>
      <c r="E23" s="51">
        <v>931.62</v>
      </c>
      <c r="F23" s="51">
        <v>741.76</v>
      </c>
      <c r="G23" s="51">
        <v>120.23</v>
      </c>
      <c r="H23" s="51">
        <v>412.28300000000002</v>
      </c>
      <c r="I23" s="51">
        <v>693</v>
      </c>
      <c r="J23" s="51">
        <v>261.79399999999998</v>
      </c>
      <c r="K23" s="52">
        <v>1318.8429999999998</v>
      </c>
    </row>
    <row r="24" spans="1:13" x14ac:dyDescent="0.25">
      <c r="A24" s="392"/>
      <c r="B24" s="12" t="s">
        <v>137</v>
      </c>
      <c r="C24" s="51">
        <v>1295.02</v>
      </c>
      <c r="D24" s="51">
        <v>2144.84</v>
      </c>
      <c r="E24" s="51">
        <v>355.97</v>
      </c>
      <c r="F24" s="51">
        <v>522</v>
      </c>
      <c r="G24" s="51">
        <v>64.102999999999994</v>
      </c>
      <c r="H24" s="51">
        <v>192.04400000000001</v>
      </c>
      <c r="I24" s="51">
        <v>369.17</v>
      </c>
      <c r="J24" s="51">
        <v>123.739</v>
      </c>
      <c r="K24" s="52">
        <v>517.81400000000031</v>
      </c>
    </row>
    <row r="25" spans="1:13" x14ac:dyDescent="0.25">
      <c r="A25" s="392"/>
      <c r="B25" s="12" t="s">
        <v>138</v>
      </c>
      <c r="C25" s="51">
        <v>1571.95</v>
      </c>
      <c r="D25" s="51">
        <v>1099.0399999999997</v>
      </c>
      <c r="E25" s="51">
        <v>170.49</v>
      </c>
      <c r="F25" s="51">
        <v>330.84</v>
      </c>
      <c r="G25" s="51">
        <v>22.260999999999999</v>
      </c>
      <c r="H25" s="51">
        <v>98.930999999999997</v>
      </c>
      <c r="I25" s="51">
        <v>170.91</v>
      </c>
      <c r="J25" s="51">
        <v>74.677000000000007</v>
      </c>
      <c r="K25" s="52">
        <v>230.93099999999959</v>
      </c>
    </row>
    <row r="26" spans="1:13" x14ac:dyDescent="0.25">
      <c r="A26" s="392"/>
      <c r="B26" s="12" t="s">
        <v>26</v>
      </c>
      <c r="C26" s="51">
        <v>994.43</v>
      </c>
      <c r="D26" s="51">
        <v>3598.7900000000004</v>
      </c>
      <c r="E26" s="51">
        <v>720.26</v>
      </c>
      <c r="F26" s="51">
        <v>651.42999999999995</v>
      </c>
      <c r="G26" s="51">
        <v>97.718999999999994</v>
      </c>
      <c r="H26" s="51">
        <v>329.64299999999997</v>
      </c>
      <c r="I26" s="51">
        <v>566.58000000000004</v>
      </c>
      <c r="J26" s="51">
        <v>210.73699999999999</v>
      </c>
      <c r="K26" s="52">
        <v>1022.4210000000003</v>
      </c>
    </row>
    <row r="27" spans="1:13" x14ac:dyDescent="0.25">
      <c r="A27" s="392"/>
      <c r="B27" s="247" t="s">
        <v>139</v>
      </c>
      <c r="C27" s="247"/>
      <c r="D27" s="247"/>
      <c r="E27" s="247"/>
      <c r="F27" s="247"/>
      <c r="G27" s="247"/>
      <c r="H27" s="247"/>
      <c r="I27" s="247"/>
      <c r="J27" s="247"/>
      <c r="K27" s="250"/>
    </row>
    <row r="28" spans="1:13" x14ac:dyDescent="0.25">
      <c r="A28" s="392"/>
      <c r="B28" s="12" t="s">
        <v>136</v>
      </c>
      <c r="C28" s="51">
        <v>600.46</v>
      </c>
      <c r="D28" s="51">
        <v>3312.22</v>
      </c>
      <c r="E28" s="51">
        <v>742.66</v>
      </c>
      <c r="F28" s="51">
        <v>597.32100000000003</v>
      </c>
      <c r="G28" s="51">
        <v>73.308999999999997</v>
      </c>
      <c r="H28" s="51">
        <v>512.99900000000002</v>
      </c>
      <c r="I28" s="51">
        <v>206.20099999999999</v>
      </c>
      <c r="J28" s="51">
        <v>192.255</v>
      </c>
      <c r="K28" s="52">
        <v>987.47499999999991</v>
      </c>
    </row>
    <row r="29" spans="1:13" x14ac:dyDescent="0.25">
      <c r="A29" s="392"/>
      <c r="B29" s="12" t="s">
        <v>137</v>
      </c>
      <c r="C29" s="51">
        <v>1035.1300000000001</v>
      </c>
      <c r="D29" s="51">
        <v>1697.2999999999997</v>
      </c>
      <c r="E29" s="51">
        <v>261.42</v>
      </c>
      <c r="F29" s="51">
        <v>431.72699999999998</v>
      </c>
      <c r="G29" s="51">
        <v>44.735999999999997</v>
      </c>
      <c r="H29" s="51">
        <v>289.71100000000001</v>
      </c>
      <c r="I29" s="51">
        <v>120.01300000000001</v>
      </c>
      <c r="J29" s="51">
        <v>116.06100000000001</v>
      </c>
      <c r="K29" s="52">
        <v>433.63199999999961</v>
      </c>
    </row>
    <row r="30" spans="1:13" x14ac:dyDescent="0.25">
      <c r="A30" s="392"/>
      <c r="B30" s="12" t="s">
        <v>138</v>
      </c>
      <c r="C30" s="51">
        <v>1509.06</v>
      </c>
      <c r="D30" s="51">
        <v>942.94</v>
      </c>
      <c r="E30" s="51">
        <v>125.75</v>
      </c>
      <c r="F30" s="51">
        <v>295.57</v>
      </c>
      <c r="G30" s="51">
        <v>26.38</v>
      </c>
      <c r="H30" s="51">
        <v>181.68199999999999</v>
      </c>
      <c r="I30" s="51">
        <v>43.207000000000001</v>
      </c>
      <c r="J30" s="51">
        <v>66.459000000000003</v>
      </c>
      <c r="K30" s="52">
        <v>203.89200000000028</v>
      </c>
    </row>
    <row r="31" spans="1:13" x14ac:dyDescent="0.25">
      <c r="A31" s="392"/>
      <c r="B31" s="12" t="s">
        <v>26</v>
      </c>
      <c r="C31" s="51">
        <v>801.02</v>
      </c>
      <c r="D31" s="51">
        <v>2660.21</v>
      </c>
      <c r="E31" s="51">
        <v>556.61</v>
      </c>
      <c r="F31" s="51">
        <v>525.02200000000005</v>
      </c>
      <c r="G31" s="51">
        <v>61.308999999999997</v>
      </c>
      <c r="H31" s="51">
        <v>422.50299999999999</v>
      </c>
      <c r="I31" s="51">
        <v>168.02099999999999</v>
      </c>
      <c r="J31" s="51">
        <v>160.196</v>
      </c>
      <c r="K31" s="52">
        <v>766.54899999999998</v>
      </c>
    </row>
    <row r="32" spans="1:13" x14ac:dyDescent="0.25">
      <c r="A32" s="392"/>
      <c r="B32" s="247" t="s">
        <v>47</v>
      </c>
      <c r="C32" s="247"/>
      <c r="D32" s="247"/>
      <c r="E32" s="247"/>
      <c r="F32" s="247"/>
      <c r="G32" s="247"/>
      <c r="H32" s="247"/>
      <c r="I32" s="247"/>
      <c r="J32" s="247"/>
      <c r="K32" s="250"/>
    </row>
    <row r="33" spans="1:11" x14ac:dyDescent="0.25">
      <c r="A33" s="392"/>
      <c r="B33" s="12" t="s">
        <v>136</v>
      </c>
      <c r="C33" s="51">
        <v>459.34</v>
      </c>
      <c r="D33" s="51">
        <v>2458.54</v>
      </c>
      <c r="E33" s="51">
        <v>375.05</v>
      </c>
      <c r="F33" s="51">
        <v>446.92599999999999</v>
      </c>
      <c r="G33" s="51">
        <v>39.613</v>
      </c>
      <c r="H33" s="51">
        <v>462.327</v>
      </c>
      <c r="I33" s="51">
        <v>60.79</v>
      </c>
      <c r="J33" s="51">
        <v>116.054</v>
      </c>
      <c r="K33" s="52">
        <v>957.78</v>
      </c>
    </row>
    <row r="34" spans="1:11" x14ac:dyDescent="0.25">
      <c r="A34" s="392"/>
      <c r="B34" s="12" t="s">
        <v>137</v>
      </c>
      <c r="C34" s="51">
        <v>791.29</v>
      </c>
      <c r="D34" s="51">
        <v>1265.46</v>
      </c>
      <c r="E34" s="51">
        <v>148.19999999999999</v>
      </c>
      <c r="F34" s="51">
        <v>344.87099999999998</v>
      </c>
      <c r="G34" s="51">
        <v>26.643999999999998</v>
      </c>
      <c r="H34" s="51">
        <v>308.82600000000002</v>
      </c>
      <c r="I34" s="51">
        <v>37.5</v>
      </c>
      <c r="J34" s="51">
        <v>80.283000000000001</v>
      </c>
      <c r="K34" s="52">
        <v>319.13600000000019</v>
      </c>
    </row>
    <row r="35" spans="1:11" x14ac:dyDescent="0.25">
      <c r="A35" s="392"/>
      <c r="B35" s="12" t="s">
        <v>138</v>
      </c>
      <c r="C35" s="51">
        <v>1414.55</v>
      </c>
      <c r="D35" s="51">
        <v>695.83999999999992</v>
      </c>
      <c r="E35" s="51">
        <v>65.930000000000007</v>
      </c>
      <c r="F35" s="51">
        <v>193.24299999999999</v>
      </c>
      <c r="G35" s="51">
        <v>13.023999999999999</v>
      </c>
      <c r="H35" s="51">
        <v>173.386</v>
      </c>
      <c r="I35" s="51">
        <v>11.119</v>
      </c>
      <c r="J35" s="51">
        <v>45.460999999999999</v>
      </c>
      <c r="K35" s="52">
        <v>193.67700000000013</v>
      </c>
    </row>
    <row r="36" spans="1:11" ht="15.75" thickBot="1" x14ac:dyDescent="0.3">
      <c r="A36" s="393"/>
      <c r="B36" s="150" t="s">
        <v>26</v>
      </c>
      <c r="C36" s="55">
        <v>705.03</v>
      </c>
      <c r="D36" s="55">
        <v>1846.61</v>
      </c>
      <c r="E36" s="55">
        <v>262.92</v>
      </c>
      <c r="F36" s="55">
        <v>377.88099999999997</v>
      </c>
      <c r="G36" s="55">
        <v>31.754999999999999</v>
      </c>
      <c r="H36" s="55">
        <v>373.50900000000001</v>
      </c>
      <c r="I36" s="55">
        <v>46.366999999999997</v>
      </c>
      <c r="J36" s="55">
        <v>94.826999999999998</v>
      </c>
      <c r="K36" s="56">
        <v>659.35099999999966</v>
      </c>
    </row>
    <row r="37" spans="1:11" x14ac:dyDescent="0.25">
      <c r="A37" s="9" t="s">
        <v>141</v>
      </c>
    </row>
  </sheetData>
  <mergeCells count="4">
    <mergeCell ref="B5:B6"/>
    <mergeCell ref="A22:A36"/>
    <mergeCell ref="A7:A21"/>
    <mergeCell ref="A4: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workbookViewId="0">
      <selection activeCell="B13" sqref="B13"/>
    </sheetView>
  </sheetViews>
  <sheetFormatPr defaultRowHeight="15" x14ac:dyDescent="0.25"/>
  <cols>
    <col min="1" max="1" width="14.7109375" style="233" customWidth="1"/>
    <col min="2" max="2" width="19.28515625" style="58" customWidth="1"/>
    <col min="3" max="26" width="7.5703125" style="58" customWidth="1"/>
    <col min="27" max="16384" width="9.140625" style="58"/>
  </cols>
  <sheetData>
    <row r="1" spans="1:26" ht="15.75" x14ac:dyDescent="0.25">
      <c r="A1" s="220" t="s">
        <v>210</v>
      </c>
    </row>
    <row r="2" spans="1:26" x14ac:dyDescent="0.25">
      <c r="A2" s="221"/>
    </row>
    <row r="3" spans="1:26" ht="15.75" thickBot="1" x14ac:dyDescent="0.3">
      <c r="A3" s="221" t="s">
        <v>685</v>
      </c>
    </row>
    <row r="4" spans="1:26" s="234" customFormat="1" ht="19.5" customHeight="1" x14ac:dyDescent="0.25">
      <c r="A4" s="406"/>
      <c r="B4" s="407"/>
      <c r="C4" s="408">
        <v>2000</v>
      </c>
      <c r="D4" s="399"/>
      <c r="E4" s="399"/>
      <c r="F4" s="399"/>
      <c r="G4" s="399"/>
      <c r="H4" s="400"/>
      <c r="I4" s="398">
        <v>2007</v>
      </c>
      <c r="J4" s="399"/>
      <c r="K4" s="399"/>
      <c r="L4" s="399"/>
      <c r="M4" s="399"/>
      <c r="N4" s="409"/>
      <c r="O4" s="408">
        <v>2011</v>
      </c>
      <c r="P4" s="399"/>
      <c r="Q4" s="399"/>
      <c r="R4" s="399"/>
      <c r="S4" s="399"/>
      <c r="T4" s="400"/>
      <c r="U4" s="398">
        <v>2012</v>
      </c>
      <c r="V4" s="399"/>
      <c r="W4" s="399"/>
      <c r="X4" s="399"/>
      <c r="Y4" s="399"/>
      <c r="Z4" s="400"/>
    </row>
    <row r="5" spans="1:26" s="2" customFormat="1" ht="30" x14ac:dyDescent="0.25">
      <c r="A5" s="401" t="s">
        <v>166</v>
      </c>
      <c r="B5" s="402"/>
      <c r="C5" s="228" t="s">
        <v>1</v>
      </c>
      <c r="D5" s="35" t="s">
        <v>2</v>
      </c>
      <c r="E5" s="35" t="s">
        <v>167</v>
      </c>
      <c r="F5" s="35" t="s">
        <v>145</v>
      </c>
      <c r="G5" s="35" t="s">
        <v>26</v>
      </c>
      <c r="H5" s="36" t="s">
        <v>168</v>
      </c>
      <c r="I5" s="227" t="s">
        <v>1</v>
      </c>
      <c r="J5" s="35" t="s">
        <v>2</v>
      </c>
      <c r="K5" s="35" t="s">
        <v>167</v>
      </c>
      <c r="L5" s="35" t="s">
        <v>145</v>
      </c>
      <c r="M5" s="35" t="s">
        <v>26</v>
      </c>
      <c r="N5" s="179" t="s">
        <v>168</v>
      </c>
      <c r="O5" s="228" t="s">
        <v>1</v>
      </c>
      <c r="P5" s="35" t="s">
        <v>2</v>
      </c>
      <c r="Q5" s="35" t="s">
        <v>167</v>
      </c>
      <c r="R5" s="35" t="s">
        <v>145</v>
      </c>
      <c r="S5" s="35" t="s">
        <v>26</v>
      </c>
      <c r="T5" s="36" t="s">
        <v>168</v>
      </c>
      <c r="U5" s="227" t="s">
        <v>1</v>
      </c>
      <c r="V5" s="35" t="s">
        <v>2</v>
      </c>
      <c r="W5" s="35" t="s">
        <v>167</v>
      </c>
      <c r="X5" s="35" t="s">
        <v>145</v>
      </c>
      <c r="Y5" s="35" t="s">
        <v>26</v>
      </c>
      <c r="Z5" s="36" t="s">
        <v>168</v>
      </c>
    </row>
    <row r="6" spans="1:26" x14ac:dyDescent="0.25">
      <c r="A6" s="403" t="s">
        <v>140</v>
      </c>
      <c r="B6" s="3" t="s">
        <v>169</v>
      </c>
      <c r="C6" s="235">
        <v>42371.3</v>
      </c>
      <c r="D6" s="57">
        <v>18169</v>
      </c>
      <c r="E6" s="57">
        <v>11904.75</v>
      </c>
      <c r="F6" s="57">
        <v>3851.3</v>
      </c>
      <c r="G6" s="57">
        <v>76296.350000000006</v>
      </c>
      <c r="H6" s="154">
        <v>33925.050000000003</v>
      </c>
      <c r="I6" s="57">
        <v>35876.987999999998</v>
      </c>
      <c r="J6" s="57">
        <v>21274.166000000001</v>
      </c>
      <c r="K6" s="57">
        <v>11218.370999999999</v>
      </c>
      <c r="L6" s="57">
        <v>4168.5240000000003</v>
      </c>
      <c r="M6" s="57">
        <v>72538.048999999999</v>
      </c>
      <c r="N6" s="57">
        <v>36661.061000000002</v>
      </c>
      <c r="O6" s="235">
        <v>32999.675999999999</v>
      </c>
      <c r="P6" s="57">
        <v>22747.338</v>
      </c>
      <c r="Q6" s="57">
        <v>12164.888999999999</v>
      </c>
      <c r="R6" s="57">
        <v>4467.8710000000001</v>
      </c>
      <c r="S6" s="57">
        <v>72379.774000000005</v>
      </c>
      <c r="T6" s="154">
        <v>39380.097999999998</v>
      </c>
      <c r="U6" s="57">
        <v>33969.972999999998</v>
      </c>
      <c r="V6" s="57">
        <v>23426.055</v>
      </c>
      <c r="W6" s="57">
        <v>13082.048000000001</v>
      </c>
      <c r="X6" s="57">
        <v>4599.58</v>
      </c>
      <c r="Y6" s="57">
        <v>75077.656000000003</v>
      </c>
      <c r="Z6" s="154">
        <v>41107.682999999997</v>
      </c>
    </row>
    <row r="7" spans="1:26" x14ac:dyDescent="0.25">
      <c r="A7" s="404"/>
      <c r="B7" s="3" t="s">
        <v>170</v>
      </c>
      <c r="C7" s="235">
        <v>9767.75</v>
      </c>
      <c r="D7" s="57">
        <v>3102.65</v>
      </c>
      <c r="E7" s="57">
        <v>2230.75</v>
      </c>
      <c r="F7" s="57">
        <v>864.45</v>
      </c>
      <c r="G7" s="57">
        <v>15965.6</v>
      </c>
      <c r="H7" s="154">
        <v>6197.85</v>
      </c>
      <c r="I7" s="57">
        <v>12673.091</v>
      </c>
      <c r="J7" s="57">
        <v>5167.4380000000001</v>
      </c>
      <c r="K7" s="57">
        <v>2769.877</v>
      </c>
      <c r="L7" s="57">
        <v>1178.2449999999999</v>
      </c>
      <c r="M7" s="57">
        <v>21788.651000000002</v>
      </c>
      <c r="N7" s="57">
        <v>9115.56</v>
      </c>
      <c r="O7" s="235">
        <v>11550.27</v>
      </c>
      <c r="P7" s="57">
        <v>5885.6409999999996</v>
      </c>
      <c r="Q7" s="57">
        <v>3178.7629999999999</v>
      </c>
      <c r="R7" s="57">
        <v>1310.02</v>
      </c>
      <c r="S7" s="57">
        <v>21924.694</v>
      </c>
      <c r="T7" s="154">
        <v>10374.424000000001</v>
      </c>
      <c r="U7" s="57">
        <v>10869.29</v>
      </c>
      <c r="V7" s="57">
        <v>5718.2169999999996</v>
      </c>
      <c r="W7" s="57">
        <v>3251.027</v>
      </c>
      <c r="X7" s="57">
        <v>1280.4010000000001</v>
      </c>
      <c r="Y7" s="57">
        <v>21118.935000000001</v>
      </c>
      <c r="Z7" s="154">
        <v>10249.645</v>
      </c>
    </row>
    <row r="8" spans="1:26" x14ac:dyDescent="0.25">
      <c r="A8" s="404"/>
      <c r="B8" s="3" t="s">
        <v>171</v>
      </c>
      <c r="C8" s="235">
        <v>7274.3</v>
      </c>
      <c r="D8" s="57">
        <v>2450.9</v>
      </c>
      <c r="E8" s="57">
        <v>1867.8</v>
      </c>
      <c r="F8" s="57">
        <v>864.8</v>
      </c>
      <c r="G8" s="57">
        <v>12457.8</v>
      </c>
      <c r="H8" s="154">
        <v>5183.5</v>
      </c>
      <c r="I8" s="57">
        <v>10089.566000000001</v>
      </c>
      <c r="J8" s="57">
        <v>4270.5190000000002</v>
      </c>
      <c r="K8" s="57">
        <v>2416.3679999999999</v>
      </c>
      <c r="L8" s="57">
        <v>1274.81</v>
      </c>
      <c r="M8" s="57">
        <v>18051.262999999999</v>
      </c>
      <c r="N8" s="57">
        <v>7961.6970000000001</v>
      </c>
      <c r="O8" s="235">
        <v>10856.575999999999</v>
      </c>
      <c r="P8" s="57">
        <v>5531.85</v>
      </c>
      <c r="Q8" s="57">
        <v>2860.8829999999998</v>
      </c>
      <c r="R8" s="57">
        <v>1437.9380000000001</v>
      </c>
      <c r="S8" s="57">
        <v>20687.246999999999</v>
      </c>
      <c r="T8" s="154">
        <v>9830.6710000000003</v>
      </c>
      <c r="U8" s="57">
        <v>10155.507</v>
      </c>
      <c r="V8" s="57">
        <v>5343.3339999999998</v>
      </c>
      <c r="W8" s="57">
        <v>2848.5259999999998</v>
      </c>
      <c r="X8" s="57">
        <v>1425.6220000000001</v>
      </c>
      <c r="Y8" s="57">
        <v>19772.989000000001</v>
      </c>
      <c r="Z8" s="154">
        <v>9617.482</v>
      </c>
    </row>
    <row r="9" spans="1:26" x14ac:dyDescent="0.25">
      <c r="A9" s="404"/>
      <c r="B9" s="95" t="s">
        <v>26</v>
      </c>
      <c r="C9" s="236">
        <v>59413.35</v>
      </c>
      <c r="D9" s="82">
        <v>23722.55</v>
      </c>
      <c r="E9" s="82">
        <v>16003.3</v>
      </c>
      <c r="F9" s="82">
        <v>5580.55</v>
      </c>
      <c r="G9" s="82">
        <v>104719.75</v>
      </c>
      <c r="H9" s="155">
        <v>45306.400000000001</v>
      </c>
      <c r="I9" s="82">
        <v>58639.644999999997</v>
      </c>
      <c r="J9" s="82">
        <v>30712.123</v>
      </c>
      <c r="K9" s="82">
        <v>16404.616000000002</v>
      </c>
      <c r="L9" s="82">
        <v>6621.5789999999997</v>
      </c>
      <c r="M9" s="82">
        <v>112377.963</v>
      </c>
      <c r="N9" s="82">
        <v>53738.317999999999</v>
      </c>
      <c r="O9" s="236">
        <v>55406.521999999997</v>
      </c>
      <c r="P9" s="82">
        <v>34164.828999999998</v>
      </c>
      <c r="Q9" s="82">
        <v>18204.535</v>
      </c>
      <c r="R9" s="82">
        <v>7215.8289999999997</v>
      </c>
      <c r="S9" s="82">
        <v>114991.715</v>
      </c>
      <c r="T9" s="155">
        <v>59585.192999999999</v>
      </c>
      <c r="U9" s="82">
        <v>54994.77</v>
      </c>
      <c r="V9" s="82">
        <v>34487.606</v>
      </c>
      <c r="W9" s="82">
        <v>19181.600999999999</v>
      </c>
      <c r="X9" s="82">
        <v>7305.6030000000001</v>
      </c>
      <c r="Y9" s="82">
        <v>115969.58</v>
      </c>
      <c r="Z9" s="155">
        <v>60974.81</v>
      </c>
    </row>
    <row r="10" spans="1:26" x14ac:dyDescent="0.25">
      <c r="A10" s="223" t="s">
        <v>0</v>
      </c>
      <c r="B10" s="225"/>
      <c r="C10" s="237"/>
      <c r="D10" s="63"/>
      <c r="E10" s="63"/>
      <c r="F10" s="63"/>
      <c r="G10" s="63"/>
      <c r="H10" s="156"/>
      <c r="I10" s="63"/>
      <c r="J10" s="63"/>
      <c r="K10" s="63"/>
      <c r="L10" s="63"/>
      <c r="M10" s="63"/>
      <c r="N10" s="63"/>
      <c r="O10" s="237"/>
      <c r="P10" s="63"/>
      <c r="Q10" s="63"/>
      <c r="R10" s="63"/>
      <c r="S10" s="63"/>
      <c r="T10" s="156"/>
      <c r="U10" s="63"/>
      <c r="V10" s="63"/>
      <c r="W10" s="63"/>
      <c r="X10" s="63"/>
      <c r="Y10" s="63"/>
      <c r="Z10" s="156"/>
    </row>
    <row r="11" spans="1:26" x14ac:dyDescent="0.25">
      <c r="A11" s="404" t="s">
        <v>172</v>
      </c>
      <c r="B11" s="3" t="s">
        <v>169</v>
      </c>
      <c r="C11" s="235">
        <v>20935.2</v>
      </c>
      <c r="D11" s="57">
        <v>8831.0499999999993</v>
      </c>
      <c r="E11" s="57">
        <v>2060.85</v>
      </c>
      <c r="F11" s="57">
        <v>175.25</v>
      </c>
      <c r="G11" s="57">
        <v>32002.35</v>
      </c>
      <c r="H11" s="154">
        <v>11067.15</v>
      </c>
      <c r="I11" s="57">
        <v>18608.935000000001</v>
      </c>
      <c r="J11" s="57">
        <v>11165.672</v>
      </c>
      <c r="K11" s="57">
        <v>2547.453</v>
      </c>
      <c r="L11" s="57">
        <v>258.791</v>
      </c>
      <c r="M11" s="57">
        <v>32580.850999999999</v>
      </c>
      <c r="N11" s="57">
        <v>13971.915999999999</v>
      </c>
      <c r="O11" s="235">
        <v>16376.405000000001</v>
      </c>
      <c r="P11" s="57">
        <v>11703.232</v>
      </c>
      <c r="Q11" s="57">
        <v>3151.1370000000002</v>
      </c>
      <c r="R11" s="57">
        <v>318.09500000000003</v>
      </c>
      <c r="S11" s="57">
        <v>31548.868999999999</v>
      </c>
      <c r="T11" s="154">
        <v>15172.464</v>
      </c>
      <c r="U11" s="57">
        <v>16550.310000000001</v>
      </c>
      <c r="V11" s="57">
        <v>12088.772000000001</v>
      </c>
      <c r="W11" s="57">
        <v>3579.4490000000001</v>
      </c>
      <c r="X11" s="57">
        <v>361.20100000000002</v>
      </c>
      <c r="Y11" s="57">
        <v>32579.732</v>
      </c>
      <c r="Z11" s="154">
        <v>16029.422</v>
      </c>
    </row>
    <row r="12" spans="1:26" x14ac:dyDescent="0.25">
      <c r="A12" s="404"/>
      <c r="B12" s="3" t="s">
        <v>170</v>
      </c>
      <c r="C12" s="235">
        <v>4743.2</v>
      </c>
      <c r="D12" s="57">
        <v>1870.4</v>
      </c>
      <c r="E12" s="57">
        <v>768.45</v>
      </c>
      <c r="F12" s="57">
        <v>84.1</v>
      </c>
      <c r="G12" s="57">
        <v>7466.15</v>
      </c>
      <c r="H12" s="154">
        <v>2722.95</v>
      </c>
      <c r="I12" s="57">
        <v>6853.4210000000003</v>
      </c>
      <c r="J12" s="57">
        <v>3344.096</v>
      </c>
      <c r="K12" s="57">
        <v>1168.0830000000001</v>
      </c>
      <c r="L12" s="57">
        <v>166.46100000000001</v>
      </c>
      <c r="M12" s="57">
        <v>11532.061</v>
      </c>
      <c r="N12" s="57">
        <v>4678.6400000000003</v>
      </c>
      <c r="O12" s="235">
        <v>5169.9880000000003</v>
      </c>
      <c r="P12" s="57">
        <v>3582.0740000000001</v>
      </c>
      <c r="Q12" s="57">
        <v>1476.4359999999999</v>
      </c>
      <c r="R12" s="57">
        <v>226.95400000000001</v>
      </c>
      <c r="S12" s="57">
        <v>10455.451999999999</v>
      </c>
      <c r="T12" s="154">
        <v>5285.4639999999999</v>
      </c>
      <c r="U12" s="57">
        <v>4507.152</v>
      </c>
      <c r="V12" s="57">
        <v>3368.2539999999999</v>
      </c>
      <c r="W12" s="57">
        <v>1534.4359999999999</v>
      </c>
      <c r="X12" s="57">
        <v>236.05699999999999</v>
      </c>
      <c r="Y12" s="57">
        <v>9645.8989999999994</v>
      </c>
      <c r="Z12" s="154">
        <v>5138.7470000000003</v>
      </c>
    </row>
    <row r="13" spans="1:26" x14ac:dyDescent="0.25">
      <c r="A13" s="404"/>
      <c r="B13" s="3" t="s">
        <v>171</v>
      </c>
      <c r="C13" s="235">
        <v>2256.1999999999998</v>
      </c>
      <c r="D13" s="57">
        <v>1175.05</v>
      </c>
      <c r="E13" s="57">
        <v>665.2</v>
      </c>
      <c r="F13" s="57">
        <v>108.7</v>
      </c>
      <c r="G13" s="57">
        <v>4205.1499999999996</v>
      </c>
      <c r="H13" s="154">
        <v>1948.95</v>
      </c>
      <c r="I13" s="57">
        <v>3891.5320000000002</v>
      </c>
      <c r="J13" s="57">
        <v>2279.2280000000001</v>
      </c>
      <c r="K13" s="57">
        <v>1089.922</v>
      </c>
      <c r="L13" s="57">
        <v>248.30699999999999</v>
      </c>
      <c r="M13" s="57">
        <v>7508.9889999999996</v>
      </c>
      <c r="N13" s="57">
        <v>3617.4569999999999</v>
      </c>
      <c r="O13" s="235">
        <v>3076.1770000000001</v>
      </c>
      <c r="P13" s="57">
        <v>2677.2849999999999</v>
      </c>
      <c r="Q13" s="57">
        <v>1349.039</v>
      </c>
      <c r="R13" s="57">
        <v>303.54000000000002</v>
      </c>
      <c r="S13" s="57">
        <v>7406.0410000000002</v>
      </c>
      <c r="T13" s="154">
        <v>4329.8639999999996</v>
      </c>
      <c r="U13" s="57">
        <v>2565.8290000000002</v>
      </c>
      <c r="V13" s="57">
        <v>2423.4609999999998</v>
      </c>
      <c r="W13" s="57">
        <v>1346.3620000000001</v>
      </c>
      <c r="X13" s="57">
        <v>318.14</v>
      </c>
      <c r="Y13" s="57">
        <v>6653.7920000000004</v>
      </c>
      <c r="Z13" s="154">
        <v>4087.9630000000002</v>
      </c>
    </row>
    <row r="14" spans="1:26" x14ac:dyDescent="0.25">
      <c r="A14" s="405"/>
      <c r="B14" s="239" t="s">
        <v>26</v>
      </c>
      <c r="C14" s="240">
        <v>27934.6</v>
      </c>
      <c r="D14" s="241">
        <v>11876.5</v>
      </c>
      <c r="E14" s="241">
        <v>3494.5</v>
      </c>
      <c r="F14" s="241">
        <v>368.05</v>
      </c>
      <c r="G14" s="241">
        <v>43673.65</v>
      </c>
      <c r="H14" s="242">
        <v>15739.05</v>
      </c>
      <c r="I14" s="241">
        <v>29353.887999999999</v>
      </c>
      <c r="J14" s="241">
        <v>16788.995999999999</v>
      </c>
      <c r="K14" s="241">
        <v>4805.4579999999996</v>
      </c>
      <c r="L14" s="241">
        <v>673.55899999999997</v>
      </c>
      <c r="M14" s="241">
        <v>51621.900999999998</v>
      </c>
      <c r="N14" s="241">
        <v>22268.012999999999</v>
      </c>
      <c r="O14" s="240">
        <v>24622.57</v>
      </c>
      <c r="P14" s="241">
        <v>17962.591</v>
      </c>
      <c r="Q14" s="241">
        <v>5976.6120000000001</v>
      </c>
      <c r="R14" s="241">
        <v>848.58900000000006</v>
      </c>
      <c r="S14" s="241">
        <v>49410.362000000001</v>
      </c>
      <c r="T14" s="242">
        <v>24787.792000000001</v>
      </c>
      <c r="U14" s="241">
        <v>23623.291000000001</v>
      </c>
      <c r="V14" s="241">
        <v>17880.487000000001</v>
      </c>
      <c r="W14" s="241">
        <v>6460.2470000000003</v>
      </c>
      <c r="X14" s="241">
        <v>915.39800000000002</v>
      </c>
      <c r="Y14" s="241">
        <v>48879.423000000003</v>
      </c>
      <c r="Z14" s="242">
        <v>25256.132000000001</v>
      </c>
    </row>
    <row r="15" spans="1:26" x14ac:dyDescent="0.25">
      <c r="A15" s="403" t="s">
        <v>173</v>
      </c>
      <c r="B15" s="243" t="s">
        <v>169</v>
      </c>
      <c r="C15" s="244">
        <v>5064</v>
      </c>
      <c r="D15" s="245">
        <v>6182.05</v>
      </c>
      <c r="E15" s="245">
        <v>8303.65</v>
      </c>
      <c r="F15" s="245">
        <v>3010.45</v>
      </c>
      <c r="G15" s="245">
        <v>22560.15</v>
      </c>
      <c r="H15" s="246">
        <v>17496.150000000001</v>
      </c>
      <c r="I15" s="245">
        <v>3521.3409999999999</v>
      </c>
      <c r="J15" s="245">
        <v>6340.74</v>
      </c>
      <c r="K15" s="245">
        <v>7133.5879999999997</v>
      </c>
      <c r="L15" s="245">
        <v>3148.4279999999999</v>
      </c>
      <c r="M15" s="245">
        <v>20144.097000000002</v>
      </c>
      <c r="N15" s="245">
        <v>16622.756000000001</v>
      </c>
      <c r="O15" s="244">
        <v>3319.009</v>
      </c>
      <c r="P15" s="245">
        <v>6799.393</v>
      </c>
      <c r="Q15" s="245">
        <v>7354.8860000000004</v>
      </c>
      <c r="R15" s="245">
        <v>3351.8339999999998</v>
      </c>
      <c r="S15" s="245">
        <v>20825.121999999999</v>
      </c>
      <c r="T15" s="246">
        <v>17506.113000000001</v>
      </c>
      <c r="U15" s="245">
        <v>3351.9090000000001</v>
      </c>
      <c r="V15" s="245">
        <v>6870.9629999999997</v>
      </c>
      <c r="W15" s="245">
        <v>7727.6189999999997</v>
      </c>
      <c r="X15" s="245">
        <v>3436.9119999999998</v>
      </c>
      <c r="Y15" s="245">
        <v>21387.402999999998</v>
      </c>
      <c r="Z15" s="246">
        <v>18035.493999999999</v>
      </c>
    </row>
    <row r="16" spans="1:26" x14ac:dyDescent="0.25">
      <c r="A16" s="404"/>
      <c r="B16" s="95" t="s">
        <v>170</v>
      </c>
      <c r="C16" s="236">
        <v>201.55</v>
      </c>
      <c r="D16" s="82">
        <v>304.60000000000002</v>
      </c>
      <c r="E16" s="82">
        <v>704.6</v>
      </c>
      <c r="F16" s="82">
        <v>442.8</v>
      </c>
      <c r="G16" s="82">
        <v>1653.55</v>
      </c>
      <c r="H16" s="155">
        <v>1452</v>
      </c>
      <c r="I16" s="82">
        <v>237.53800000000001</v>
      </c>
      <c r="J16" s="82">
        <v>417.85199999999998</v>
      </c>
      <c r="K16" s="82">
        <v>830.64</v>
      </c>
      <c r="L16" s="82">
        <v>596.87900000000002</v>
      </c>
      <c r="M16" s="82">
        <v>2082.9090000000001</v>
      </c>
      <c r="N16" s="82">
        <v>1845.3710000000001</v>
      </c>
      <c r="O16" s="236">
        <v>278.04300000000001</v>
      </c>
      <c r="P16" s="82">
        <v>486.221</v>
      </c>
      <c r="Q16" s="82">
        <v>812.673</v>
      </c>
      <c r="R16" s="82">
        <v>625.03899999999999</v>
      </c>
      <c r="S16" s="82">
        <v>2201.9760000000001</v>
      </c>
      <c r="T16" s="155">
        <v>1923.933</v>
      </c>
      <c r="U16" s="82">
        <v>268.40300000000002</v>
      </c>
      <c r="V16" s="82">
        <v>462.536</v>
      </c>
      <c r="W16" s="82">
        <v>773.87900000000002</v>
      </c>
      <c r="X16" s="82">
        <v>597.03</v>
      </c>
      <c r="Y16" s="82">
        <v>2101.848</v>
      </c>
      <c r="Z16" s="155">
        <v>1833.4449999999999</v>
      </c>
    </row>
    <row r="17" spans="1:26" x14ac:dyDescent="0.25">
      <c r="A17" s="404"/>
      <c r="B17" s="95" t="s">
        <v>171</v>
      </c>
      <c r="C17" s="236">
        <v>277.2</v>
      </c>
      <c r="D17" s="82">
        <v>362.1</v>
      </c>
      <c r="E17" s="82">
        <v>510.6</v>
      </c>
      <c r="F17" s="82">
        <v>292.8</v>
      </c>
      <c r="G17" s="82">
        <v>1442.7</v>
      </c>
      <c r="H17" s="155">
        <v>1165.5</v>
      </c>
      <c r="I17" s="82">
        <v>270.57499999999999</v>
      </c>
      <c r="J17" s="82">
        <v>439.31900000000002</v>
      </c>
      <c r="K17" s="82">
        <v>538.505</v>
      </c>
      <c r="L17" s="82">
        <v>414.25099999999998</v>
      </c>
      <c r="M17" s="82">
        <v>1662.65</v>
      </c>
      <c r="N17" s="82">
        <v>1392.075</v>
      </c>
      <c r="O17" s="236">
        <v>360.30599999999998</v>
      </c>
      <c r="P17" s="82">
        <v>591.18499999999995</v>
      </c>
      <c r="Q17" s="82">
        <v>548.63599999999997</v>
      </c>
      <c r="R17" s="82">
        <v>438.72</v>
      </c>
      <c r="S17" s="82">
        <v>1938.847</v>
      </c>
      <c r="T17" s="155">
        <v>1578.5409999999999</v>
      </c>
      <c r="U17" s="82">
        <v>330.89100000000002</v>
      </c>
      <c r="V17" s="82">
        <v>585.41899999999998</v>
      </c>
      <c r="W17" s="82">
        <v>520.98500000000001</v>
      </c>
      <c r="X17" s="82">
        <v>421.22</v>
      </c>
      <c r="Y17" s="82">
        <v>1858.5150000000001</v>
      </c>
      <c r="Z17" s="155">
        <v>1527.624</v>
      </c>
    </row>
    <row r="18" spans="1:26" x14ac:dyDescent="0.25">
      <c r="A18" s="405"/>
      <c r="B18" s="239" t="s">
        <v>26</v>
      </c>
      <c r="C18" s="240">
        <v>5542.75</v>
      </c>
      <c r="D18" s="241">
        <v>6848.75</v>
      </c>
      <c r="E18" s="241">
        <v>9518.85</v>
      </c>
      <c r="F18" s="241">
        <v>3746.05</v>
      </c>
      <c r="G18" s="241">
        <v>25656.400000000001</v>
      </c>
      <c r="H18" s="242">
        <v>20113.650000000001</v>
      </c>
      <c r="I18" s="241">
        <v>4029.4540000000002</v>
      </c>
      <c r="J18" s="241">
        <v>7197.9110000000001</v>
      </c>
      <c r="K18" s="241">
        <v>8502.7330000000002</v>
      </c>
      <c r="L18" s="241">
        <v>4159.558</v>
      </c>
      <c r="M18" s="241">
        <v>23889.655999999999</v>
      </c>
      <c r="N18" s="241">
        <v>19860.202000000001</v>
      </c>
      <c r="O18" s="240">
        <v>3957.3580000000002</v>
      </c>
      <c r="P18" s="241">
        <v>7876.799</v>
      </c>
      <c r="Q18" s="241">
        <v>8716.1949999999997</v>
      </c>
      <c r="R18" s="241">
        <v>4415.5929999999998</v>
      </c>
      <c r="S18" s="241">
        <v>24965.945</v>
      </c>
      <c r="T18" s="242">
        <v>21008.587</v>
      </c>
      <c r="U18" s="241">
        <v>3951.203</v>
      </c>
      <c r="V18" s="241">
        <v>7918.9179999999997</v>
      </c>
      <c r="W18" s="241">
        <v>9022.4830000000002</v>
      </c>
      <c r="X18" s="241">
        <v>4455.1620000000003</v>
      </c>
      <c r="Y18" s="241">
        <v>25347.766</v>
      </c>
      <c r="Z18" s="242">
        <v>21396.562999999998</v>
      </c>
    </row>
    <row r="19" spans="1:26" x14ac:dyDescent="0.25">
      <c r="A19" s="404" t="s">
        <v>174</v>
      </c>
      <c r="B19" s="95" t="s">
        <v>169</v>
      </c>
      <c r="C19" s="236">
        <v>16372.1</v>
      </c>
      <c r="D19" s="82">
        <v>3155.9</v>
      </c>
      <c r="E19" s="82">
        <v>1540.25</v>
      </c>
      <c r="F19" s="82">
        <v>665.6</v>
      </c>
      <c r="G19" s="82">
        <v>21733.85</v>
      </c>
      <c r="H19" s="155">
        <v>5361.75</v>
      </c>
      <c r="I19" s="82">
        <v>13746.712</v>
      </c>
      <c r="J19" s="82">
        <v>3767.7539999999999</v>
      </c>
      <c r="K19" s="82">
        <v>1537.33</v>
      </c>
      <c r="L19" s="82">
        <v>761.30499999999995</v>
      </c>
      <c r="M19" s="82">
        <v>19813.100999999999</v>
      </c>
      <c r="N19" s="82">
        <v>6066.3890000000001</v>
      </c>
      <c r="O19" s="236">
        <v>13304.262000000001</v>
      </c>
      <c r="P19" s="82">
        <v>4244.7129999999997</v>
      </c>
      <c r="Q19" s="82">
        <v>1658.866</v>
      </c>
      <c r="R19" s="82">
        <v>797.94200000000001</v>
      </c>
      <c r="S19" s="82">
        <v>20005.782999999999</v>
      </c>
      <c r="T19" s="155">
        <v>6701.5209999999997</v>
      </c>
      <c r="U19" s="82">
        <v>14067.754000000001</v>
      </c>
      <c r="V19" s="82">
        <v>4466.32</v>
      </c>
      <c r="W19" s="82">
        <v>1774.98</v>
      </c>
      <c r="X19" s="82">
        <v>801.46699999999998</v>
      </c>
      <c r="Y19" s="82">
        <v>21110.521000000001</v>
      </c>
      <c r="Z19" s="155">
        <v>7042.7669999999998</v>
      </c>
    </row>
    <row r="20" spans="1:26" x14ac:dyDescent="0.25">
      <c r="A20" s="404"/>
      <c r="B20" s="95" t="s">
        <v>170</v>
      </c>
      <c r="C20" s="236">
        <v>4823</v>
      </c>
      <c r="D20" s="82">
        <v>927.65</v>
      </c>
      <c r="E20" s="82">
        <v>757.7</v>
      </c>
      <c r="F20" s="82">
        <v>337.55</v>
      </c>
      <c r="G20" s="82">
        <v>6845.9</v>
      </c>
      <c r="H20" s="155">
        <v>2022.9</v>
      </c>
      <c r="I20" s="82">
        <v>5582.1319999999996</v>
      </c>
      <c r="J20" s="82">
        <v>1405.49</v>
      </c>
      <c r="K20" s="82">
        <v>771.154</v>
      </c>
      <c r="L20" s="82">
        <v>414.90499999999997</v>
      </c>
      <c r="M20" s="82">
        <v>8173.6809999999996</v>
      </c>
      <c r="N20" s="82">
        <v>2591.549</v>
      </c>
      <c r="O20" s="236">
        <v>6102.2389999999996</v>
      </c>
      <c r="P20" s="82">
        <v>1817.346</v>
      </c>
      <c r="Q20" s="82">
        <v>889.654</v>
      </c>
      <c r="R20" s="82">
        <v>458.02699999999999</v>
      </c>
      <c r="S20" s="82">
        <v>9267.2659999999996</v>
      </c>
      <c r="T20" s="155">
        <v>3165.027</v>
      </c>
      <c r="U20" s="82">
        <v>6093.7349999999997</v>
      </c>
      <c r="V20" s="82">
        <v>1887.4269999999999</v>
      </c>
      <c r="W20" s="82">
        <v>942.71199999999999</v>
      </c>
      <c r="X20" s="82">
        <v>447.31400000000002</v>
      </c>
      <c r="Y20" s="82">
        <v>9371.1880000000001</v>
      </c>
      <c r="Z20" s="155">
        <v>3277.453</v>
      </c>
    </row>
    <row r="21" spans="1:26" x14ac:dyDescent="0.25">
      <c r="A21" s="404"/>
      <c r="B21" s="95" t="s">
        <v>171</v>
      </c>
      <c r="C21" s="236">
        <v>4740.8999999999996</v>
      </c>
      <c r="D21" s="82">
        <v>913.75</v>
      </c>
      <c r="E21" s="82">
        <v>692</v>
      </c>
      <c r="F21" s="82">
        <v>463.3</v>
      </c>
      <c r="G21" s="82">
        <v>6809.95</v>
      </c>
      <c r="H21" s="155">
        <v>2069.0500000000002</v>
      </c>
      <c r="I21" s="82">
        <v>5927.4589999999998</v>
      </c>
      <c r="J21" s="82">
        <v>1551.972</v>
      </c>
      <c r="K21" s="82">
        <v>787.94100000000003</v>
      </c>
      <c r="L21" s="82">
        <v>612.25199999999995</v>
      </c>
      <c r="M21" s="82">
        <v>8879.6239999999998</v>
      </c>
      <c r="N21" s="82">
        <v>2952.165</v>
      </c>
      <c r="O21" s="236">
        <v>7420.0929999999998</v>
      </c>
      <c r="P21" s="82">
        <v>2263.38</v>
      </c>
      <c r="Q21" s="82">
        <v>963.20799999999997</v>
      </c>
      <c r="R21" s="82">
        <v>695.678</v>
      </c>
      <c r="S21" s="82">
        <v>11342.359</v>
      </c>
      <c r="T21" s="155">
        <v>3922.2660000000001</v>
      </c>
      <c r="U21" s="82">
        <v>7258.7870000000003</v>
      </c>
      <c r="V21" s="82">
        <v>2334.4540000000002</v>
      </c>
      <c r="W21" s="82">
        <v>981.17899999999997</v>
      </c>
      <c r="X21" s="82">
        <v>686.26199999999994</v>
      </c>
      <c r="Y21" s="82">
        <v>11260.682000000001</v>
      </c>
      <c r="Z21" s="155">
        <v>4001.895</v>
      </c>
    </row>
    <row r="22" spans="1:26" x14ac:dyDescent="0.25">
      <c r="A22" s="404"/>
      <c r="B22" s="95" t="s">
        <v>26</v>
      </c>
      <c r="C22" s="236">
        <v>25936</v>
      </c>
      <c r="D22" s="82">
        <v>4997.3</v>
      </c>
      <c r="E22" s="82">
        <v>2989.95</v>
      </c>
      <c r="F22" s="82">
        <v>1466.45</v>
      </c>
      <c r="G22" s="82">
        <v>35389.699999999997</v>
      </c>
      <c r="H22" s="155">
        <v>9453.7000000000007</v>
      </c>
      <c r="I22" s="82">
        <v>25256.303</v>
      </c>
      <c r="J22" s="82">
        <v>6725.2160000000003</v>
      </c>
      <c r="K22" s="82">
        <v>3096.4250000000002</v>
      </c>
      <c r="L22" s="82">
        <v>1788.462</v>
      </c>
      <c r="M22" s="82">
        <v>36866.406000000003</v>
      </c>
      <c r="N22" s="82">
        <v>11610.102999999999</v>
      </c>
      <c r="O22" s="236">
        <v>26826.594000000001</v>
      </c>
      <c r="P22" s="82">
        <v>8325.4390000000003</v>
      </c>
      <c r="Q22" s="82">
        <v>3511.7280000000001</v>
      </c>
      <c r="R22" s="82">
        <v>1951.6469999999999</v>
      </c>
      <c r="S22" s="82">
        <v>40615.408000000003</v>
      </c>
      <c r="T22" s="155">
        <v>13788.814</v>
      </c>
      <c r="U22" s="82">
        <v>27420.276000000002</v>
      </c>
      <c r="V22" s="82">
        <v>8688.2009999999991</v>
      </c>
      <c r="W22" s="82">
        <v>3698.8710000000001</v>
      </c>
      <c r="X22" s="82">
        <v>1935.0429999999999</v>
      </c>
      <c r="Y22" s="82">
        <v>41742.391000000003</v>
      </c>
      <c r="Z22" s="155">
        <v>14322.115</v>
      </c>
    </row>
    <row r="23" spans="1:26" x14ac:dyDescent="0.25">
      <c r="A23" s="224" t="s">
        <v>175</v>
      </c>
      <c r="B23" s="225"/>
      <c r="C23" s="237"/>
      <c r="D23" s="63"/>
      <c r="E23" s="63"/>
      <c r="F23" s="63"/>
      <c r="G23" s="63"/>
      <c r="H23" s="156"/>
      <c r="I23" s="63"/>
      <c r="J23" s="63"/>
      <c r="K23" s="63"/>
      <c r="L23" s="63"/>
      <c r="M23" s="63"/>
      <c r="N23" s="63"/>
      <c r="O23" s="237"/>
      <c r="P23" s="63"/>
      <c r="Q23" s="63"/>
      <c r="R23" s="63"/>
      <c r="S23" s="63"/>
      <c r="T23" s="156"/>
      <c r="U23" s="63"/>
      <c r="V23" s="63"/>
      <c r="W23" s="63"/>
      <c r="X23" s="63"/>
      <c r="Y23" s="63"/>
      <c r="Z23" s="156"/>
    </row>
    <row r="24" spans="1:26" x14ac:dyDescent="0.25">
      <c r="A24" s="404" t="s">
        <v>147</v>
      </c>
      <c r="B24" s="3" t="s">
        <v>169</v>
      </c>
      <c r="C24" s="235">
        <v>31361.15</v>
      </c>
      <c r="D24" s="57">
        <v>14724.3</v>
      </c>
      <c r="E24" s="57">
        <v>10303.15</v>
      </c>
      <c r="F24" s="57">
        <v>3433.5</v>
      </c>
      <c r="G24" s="57">
        <v>59822.1</v>
      </c>
      <c r="H24" s="154">
        <v>28460.95</v>
      </c>
      <c r="I24" s="57">
        <v>25623.666000000001</v>
      </c>
      <c r="J24" s="57">
        <v>17074.444</v>
      </c>
      <c r="K24" s="57">
        <v>9483.2990000000009</v>
      </c>
      <c r="L24" s="57">
        <v>3705.0230000000001</v>
      </c>
      <c r="M24" s="57">
        <v>55886.432000000001</v>
      </c>
      <c r="N24" s="57">
        <v>30262.766</v>
      </c>
      <c r="O24" s="235">
        <v>22753.841</v>
      </c>
      <c r="P24" s="57">
        <v>17881.992999999999</v>
      </c>
      <c r="Q24" s="57">
        <v>10174.383</v>
      </c>
      <c r="R24" s="57">
        <v>3900.989</v>
      </c>
      <c r="S24" s="57">
        <v>54711.205999999998</v>
      </c>
      <c r="T24" s="154">
        <v>31957.365000000002</v>
      </c>
      <c r="U24" s="57">
        <v>23194.134999999998</v>
      </c>
      <c r="V24" s="57">
        <v>18190.100999999999</v>
      </c>
      <c r="W24" s="57">
        <v>10893.583000000001</v>
      </c>
      <c r="X24" s="57">
        <v>4000.0549999999998</v>
      </c>
      <c r="Y24" s="57">
        <v>56277.874000000003</v>
      </c>
      <c r="Z24" s="154">
        <v>33083.739000000001</v>
      </c>
    </row>
    <row r="25" spans="1:26" x14ac:dyDescent="0.25">
      <c r="A25" s="404"/>
      <c r="B25" s="3" t="s">
        <v>170</v>
      </c>
      <c r="C25" s="235">
        <v>6218.8</v>
      </c>
      <c r="D25" s="57">
        <v>2215.3000000000002</v>
      </c>
      <c r="E25" s="57">
        <v>1762.4</v>
      </c>
      <c r="F25" s="57">
        <v>750.15</v>
      </c>
      <c r="G25" s="57">
        <v>10946.65</v>
      </c>
      <c r="H25" s="154">
        <v>4727.8500000000004</v>
      </c>
      <c r="I25" s="57">
        <v>7644.3860000000004</v>
      </c>
      <c r="J25" s="57">
        <v>3574.1640000000002</v>
      </c>
      <c r="K25" s="57">
        <v>2095.011</v>
      </c>
      <c r="L25" s="57">
        <v>994.88199999999995</v>
      </c>
      <c r="M25" s="57">
        <v>14308.442999999999</v>
      </c>
      <c r="N25" s="57">
        <v>6664.0569999999998</v>
      </c>
      <c r="O25" s="235">
        <v>6580.04</v>
      </c>
      <c r="P25" s="57">
        <v>3941.0230000000001</v>
      </c>
      <c r="Q25" s="57">
        <v>2386.7159999999999</v>
      </c>
      <c r="R25" s="57">
        <v>1098.249</v>
      </c>
      <c r="S25" s="57">
        <v>14006.028</v>
      </c>
      <c r="T25" s="154">
        <v>7425.9880000000003</v>
      </c>
      <c r="U25" s="57">
        <v>6033.2160000000003</v>
      </c>
      <c r="V25" s="57">
        <v>3820.2449999999999</v>
      </c>
      <c r="W25" s="57">
        <v>2430.1179999999999</v>
      </c>
      <c r="X25" s="57">
        <v>1072.1849999999999</v>
      </c>
      <c r="Y25" s="57">
        <v>13355.763999999999</v>
      </c>
      <c r="Z25" s="154">
        <v>7322.5479999999998</v>
      </c>
    </row>
    <row r="26" spans="1:26" x14ac:dyDescent="0.25">
      <c r="A26" s="404"/>
      <c r="B26" s="3" t="s">
        <v>171</v>
      </c>
      <c r="C26" s="235">
        <v>4098.45</v>
      </c>
      <c r="D26" s="57">
        <v>1617.85</v>
      </c>
      <c r="E26" s="57">
        <v>1352.4</v>
      </c>
      <c r="F26" s="57">
        <v>727.5</v>
      </c>
      <c r="G26" s="57">
        <v>7796.2</v>
      </c>
      <c r="H26" s="154">
        <v>3697.75</v>
      </c>
      <c r="I26" s="57">
        <v>5132.2179999999998</v>
      </c>
      <c r="J26" s="57">
        <v>2664.1660000000002</v>
      </c>
      <c r="K26" s="57">
        <v>1649.173</v>
      </c>
      <c r="L26" s="57">
        <v>1054.578</v>
      </c>
      <c r="M26" s="57">
        <v>10500.135</v>
      </c>
      <c r="N26" s="57">
        <v>5367.9170000000004</v>
      </c>
      <c r="O26" s="235">
        <v>5331.8639999999996</v>
      </c>
      <c r="P26" s="57">
        <v>3415.636</v>
      </c>
      <c r="Q26" s="57">
        <v>1969.963</v>
      </c>
      <c r="R26" s="57">
        <v>1193.933</v>
      </c>
      <c r="S26" s="57">
        <v>11911.396000000001</v>
      </c>
      <c r="T26" s="154">
        <v>6579.5320000000002</v>
      </c>
      <c r="U26" s="57">
        <v>4848.0060000000003</v>
      </c>
      <c r="V26" s="57">
        <v>3227.3310000000001</v>
      </c>
      <c r="W26" s="57">
        <v>1959.722</v>
      </c>
      <c r="X26" s="57">
        <v>1168.3989999999999</v>
      </c>
      <c r="Y26" s="57">
        <v>11203.458000000001</v>
      </c>
      <c r="Z26" s="154">
        <v>6355.4520000000002</v>
      </c>
    </row>
    <row r="27" spans="1:26" x14ac:dyDescent="0.25">
      <c r="A27" s="405"/>
      <c r="B27" s="239" t="s">
        <v>26</v>
      </c>
      <c r="C27" s="240">
        <v>41678.400000000001</v>
      </c>
      <c r="D27" s="241">
        <v>18557.45</v>
      </c>
      <c r="E27" s="241">
        <v>13417.95</v>
      </c>
      <c r="F27" s="241">
        <v>4911.1499999999996</v>
      </c>
      <c r="G27" s="241">
        <v>78564.95</v>
      </c>
      <c r="H27" s="242">
        <v>36886.550000000003</v>
      </c>
      <c r="I27" s="241">
        <v>38400.269999999997</v>
      </c>
      <c r="J27" s="241">
        <v>23312.774000000001</v>
      </c>
      <c r="K27" s="241">
        <v>13227.483</v>
      </c>
      <c r="L27" s="241">
        <v>5754.4830000000002</v>
      </c>
      <c r="M27" s="241">
        <v>80695.009999999995</v>
      </c>
      <c r="N27" s="241">
        <v>42294.74</v>
      </c>
      <c r="O27" s="240">
        <v>34665.745000000003</v>
      </c>
      <c r="P27" s="241">
        <v>25238.651999999998</v>
      </c>
      <c r="Q27" s="241">
        <v>14531.062</v>
      </c>
      <c r="R27" s="241">
        <v>6193.1710000000003</v>
      </c>
      <c r="S27" s="241">
        <v>80628.63</v>
      </c>
      <c r="T27" s="242">
        <v>45962.885000000002</v>
      </c>
      <c r="U27" s="241">
        <v>34075.357000000004</v>
      </c>
      <c r="V27" s="241">
        <v>25237.677</v>
      </c>
      <c r="W27" s="241">
        <v>15283.423000000001</v>
      </c>
      <c r="X27" s="241">
        <v>6240.6390000000001</v>
      </c>
      <c r="Y27" s="241">
        <v>80837.096000000005</v>
      </c>
      <c r="Z27" s="242">
        <v>46761.739000000001</v>
      </c>
    </row>
    <row r="28" spans="1:26" x14ac:dyDescent="0.25">
      <c r="A28" s="403" t="s">
        <v>89</v>
      </c>
      <c r="B28" s="243" t="s">
        <v>169</v>
      </c>
      <c r="C28" s="244">
        <v>4354.8500000000004</v>
      </c>
      <c r="D28" s="245">
        <v>1674.75</v>
      </c>
      <c r="E28" s="245">
        <v>827.05</v>
      </c>
      <c r="F28" s="245">
        <v>245.5</v>
      </c>
      <c r="G28" s="245">
        <v>7102.15</v>
      </c>
      <c r="H28" s="246">
        <v>2747.3</v>
      </c>
      <c r="I28" s="245">
        <v>3801.5</v>
      </c>
      <c r="J28" s="245">
        <v>1858.3230000000001</v>
      </c>
      <c r="K28" s="245">
        <v>808.36400000000003</v>
      </c>
      <c r="L28" s="245">
        <v>227.506</v>
      </c>
      <c r="M28" s="245">
        <v>6695.6930000000002</v>
      </c>
      <c r="N28" s="245">
        <v>2894.1930000000002</v>
      </c>
      <c r="O28" s="244">
        <v>3431.3879999999999</v>
      </c>
      <c r="P28" s="245">
        <v>2088.857</v>
      </c>
      <c r="Q28" s="245">
        <v>898.58100000000002</v>
      </c>
      <c r="R28" s="245">
        <v>269.19400000000002</v>
      </c>
      <c r="S28" s="245">
        <v>6688.02</v>
      </c>
      <c r="T28" s="246">
        <v>3256.6320000000001</v>
      </c>
      <c r="U28" s="245">
        <v>3554.587</v>
      </c>
      <c r="V28" s="245">
        <v>2234.4459999999999</v>
      </c>
      <c r="W28" s="245">
        <v>993.8</v>
      </c>
      <c r="X28" s="245">
        <v>276.553</v>
      </c>
      <c r="Y28" s="245">
        <v>7059.3860000000004</v>
      </c>
      <c r="Z28" s="246">
        <v>3504.799</v>
      </c>
    </row>
    <row r="29" spans="1:26" x14ac:dyDescent="0.25">
      <c r="A29" s="404"/>
      <c r="B29" s="95" t="s">
        <v>170</v>
      </c>
      <c r="C29" s="236">
        <v>1459.75</v>
      </c>
      <c r="D29" s="82">
        <v>440.45</v>
      </c>
      <c r="E29" s="82">
        <v>247.4</v>
      </c>
      <c r="F29" s="82">
        <v>70.5</v>
      </c>
      <c r="G29" s="82">
        <v>2218.1</v>
      </c>
      <c r="H29" s="155">
        <v>758.35</v>
      </c>
      <c r="I29" s="82">
        <v>1865.0350000000001</v>
      </c>
      <c r="J29" s="82">
        <v>732.31200000000001</v>
      </c>
      <c r="K29" s="82">
        <v>351.42099999999999</v>
      </c>
      <c r="L29" s="82">
        <v>99.015000000000001</v>
      </c>
      <c r="M29" s="82">
        <v>3047.7829999999999</v>
      </c>
      <c r="N29" s="82">
        <v>1182.748</v>
      </c>
      <c r="O29" s="236">
        <v>1712.8979999999999</v>
      </c>
      <c r="P29" s="82">
        <v>888.88499999999999</v>
      </c>
      <c r="Q29" s="82">
        <v>407.42500000000001</v>
      </c>
      <c r="R29" s="82">
        <v>111.011</v>
      </c>
      <c r="S29" s="82">
        <v>3120.2190000000001</v>
      </c>
      <c r="T29" s="155">
        <v>1407.3209999999999</v>
      </c>
      <c r="U29" s="82">
        <v>1653.3969999999999</v>
      </c>
      <c r="V29" s="82">
        <v>854.08699999999999</v>
      </c>
      <c r="W29" s="82">
        <v>407.589</v>
      </c>
      <c r="X29" s="82">
        <v>107.67100000000001</v>
      </c>
      <c r="Y29" s="82">
        <v>3022.7440000000001</v>
      </c>
      <c r="Z29" s="155">
        <v>1369.347</v>
      </c>
    </row>
    <row r="30" spans="1:26" x14ac:dyDescent="0.25">
      <c r="A30" s="404"/>
      <c r="B30" s="95" t="s">
        <v>171</v>
      </c>
      <c r="C30" s="236">
        <v>1411.5</v>
      </c>
      <c r="D30" s="82">
        <v>436.2</v>
      </c>
      <c r="E30" s="82">
        <v>299.10000000000002</v>
      </c>
      <c r="F30" s="82">
        <v>87.5</v>
      </c>
      <c r="G30" s="82">
        <v>2234.3000000000002</v>
      </c>
      <c r="H30" s="155">
        <v>822.8</v>
      </c>
      <c r="I30" s="82">
        <v>2011.2059999999999</v>
      </c>
      <c r="J30" s="82">
        <v>789.62599999999998</v>
      </c>
      <c r="K30" s="82">
        <v>390.68799999999999</v>
      </c>
      <c r="L30" s="82">
        <v>121.752</v>
      </c>
      <c r="M30" s="82">
        <v>3313.2719999999999</v>
      </c>
      <c r="N30" s="82">
        <v>1302.066</v>
      </c>
      <c r="O30" s="236">
        <v>2199.444</v>
      </c>
      <c r="P30" s="82">
        <v>1037.921</v>
      </c>
      <c r="Q30" s="82">
        <v>452.053</v>
      </c>
      <c r="R30" s="82">
        <v>118.996</v>
      </c>
      <c r="S30" s="82">
        <v>3808.4140000000002</v>
      </c>
      <c r="T30" s="155">
        <v>1608.97</v>
      </c>
      <c r="U30" s="82">
        <v>2098.299</v>
      </c>
      <c r="V30" s="82">
        <v>1028.0630000000001</v>
      </c>
      <c r="W30" s="82">
        <v>455.91500000000002</v>
      </c>
      <c r="X30" s="82">
        <v>126.917</v>
      </c>
      <c r="Y30" s="82">
        <v>3709.194</v>
      </c>
      <c r="Z30" s="155">
        <v>1610.895</v>
      </c>
    </row>
    <row r="31" spans="1:26" x14ac:dyDescent="0.25">
      <c r="A31" s="405"/>
      <c r="B31" s="239" t="s">
        <v>26</v>
      </c>
      <c r="C31" s="240">
        <v>7226.1</v>
      </c>
      <c r="D31" s="241">
        <v>2551.4</v>
      </c>
      <c r="E31" s="241">
        <v>1373.55</v>
      </c>
      <c r="F31" s="241">
        <v>403.5</v>
      </c>
      <c r="G31" s="241">
        <v>11554.55</v>
      </c>
      <c r="H31" s="242">
        <v>4328.45</v>
      </c>
      <c r="I31" s="241">
        <v>7677.741</v>
      </c>
      <c r="J31" s="241">
        <v>3380.261</v>
      </c>
      <c r="K31" s="241">
        <v>1550.473</v>
      </c>
      <c r="L31" s="241">
        <v>448.27300000000002</v>
      </c>
      <c r="M31" s="241">
        <v>13056.748</v>
      </c>
      <c r="N31" s="241">
        <v>5379.0069999999996</v>
      </c>
      <c r="O31" s="240">
        <v>7343.73</v>
      </c>
      <c r="P31" s="241">
        <v>4015.663</v>
      </c>
      <c r="Q31" s="241">
        <v>1758.059</v>
      </c>
      <c r="R31" s="241">
        <v>499.20100000000002</v>
      </c>
      <c r="S31" s="241">
        <v>13616.653</v>
      </c>
      <c r="T31" s="242">
        <v>6272.9229999999998</v>
      </c>
      <c r="U31" s="241">
        <v>7306.2830000000004</v>
      </c>
      <c r="V31" s="241">
        <v>4116.5959999999995</v>
      </c>
      <c r="W31" s="241">
        <v>1857.3040000000001</v>
      </c>
      <c r="X31" s="241">
        <v>511.14100000000002</v>
      </c>
      <c r="Y31" s="241">
        <v>13791.324000000001</v>
      </c>
      <c r="Z31" s="242">
        <v>6485.0410000000002</v>
      </c>
    </row>
    <row r="32" spans="1:26" x14ac:dyDescent="0.25">
      <c r="A32" s="403" t="s">
        <v>73</v>
      </c>
      <c r="B32" s="243" t="s">
        <v>169</v>
      </c>
      <c r="C32" s="244">
        <v>4302.2</v>
      </c>
      <c r="D32" s="245">
        <v>992.3</v>
      </c>
      <c r="E32" s="245">
        <v>470.15</v>
      </c>
      <c r="F32" s="245">
        <v>90.1</v>
      </c>
      <c r="G32" s="245">
        <v>5854.75</v>
      </c>
      <c r="H32" s="246">
        <v>1552.55</v>
      </c>
      <c r="I32" s="245">
        <v>4184.0169999999998</v>
      </c>
      <c r="J32" s="245">
        <v>1380.722</v>
      </c>
      <c r="K32" s="245">
        <v>552.71400000000006</v>
      </c>
      <c r="L32" s="245">
        <v>132.50800000000001</v>
      </c>
      <c r="M32" s="245">
        <v>6249.9610000000002</v>
      </c>
      <c r="N32" s="245">
        <v>2065.944</v>
      </c>
      <c r="O32" s="244">
        <v>4366.2129999999997</v>
      </c>
      <c r="P32" s="245">
        <v>1670.268</v>
      </c>
      <c r="Q32" s="245">
        <v>637.37099999999998</v>
      </c>
      <c r="R32" s="245">
        <v>176.755</v>
      </c>
      <c r="S32" s="245">
        <v>6850.607</v>
      </c>
      <c r="T32" s="246">
        <v>2484.3939999999998</v>
      </c>
      <c r="U32" s="245">
        <v>4622.8440000000001</v>
      </c>
      <c r="V32" s="245">
        <v>1824.596</v>
      </c>
      <c r="W32" s="245">
        <v>694.68700000000001</v>
      </c>
      <c r="X32" s="245">
        <v>192.12</v>
      </c>
      <c r="Y32" s="245">
        <v>7334.2470000000003</v>
      </c>
      <c r="Z32" s="246">
        <v>2711.4029999999998</v>
      </c>
    </row>
    <row r="33" spans="1:26" x14ac:dyDescent="0.25">
      <c r="A33" s="404"/>
      <c r="B33" s="95" t="s">
        <v>170</v>
      </c>
      <c r="C33" s="236">
        <v>1464.6</v>
      </c>
      <c r="D33" s="82">
        <v>262.55</v>
      </c>
      <c r="E33" s="82">
        <v>146.55000000000001</v>
      </c>
      <c r="F33" s="82">
        <v>18.7</v>
      </c>
      <c r="G33" s="82">
        <v>1892.4</v>
      </c>
      <c r="H33" s="155">
        <v>427.8</v>
      </c>
      <c r="I33" s="82">
        <v>2284.0419999999999</v>
      </c>
      <c r="J33" s="82">
        <v>537.42600000000004</v>
      </c>
      <c r="K33" s="82">
        <v>208.62799999999999</v>
      </c>
      <c r="L33" s="82">
        <v>53.247999999999998</v>
      </c>
      <c r="M33" s="82">
        <v>3083.3440000000001</v>
      </c>
      <c r="N33" s="82">
        <v>799.30200000000002</v>
      </c>
      <c r="O33" s="236">
        <v>2366.4180000000001</v>
      </c>
      <c r="P33" s="82">
        <v>676.85799999999995</v>
      </c>
      <c r="Q33" s="82">
        <v>244.85</v>
      </c>
      <c r="R33" s="82">
        <v>62.988</v>
      </c>
      <c r="S33" s="82">
        <v>3351.114</v>
      </c>
      <c r="T33" s="155">
        <v>984.69600000000003</v>
      </c>
      <c r="U33" s="82">
        <v>2319.056</v>
      </c>
      <c r="V33" s="82">
        <v>678.303</v>
      </c>
      <c r="W33" s="82">
        <v>259.827</v>
      </c>
      <c r="X33" s="82">
        <v>66.947000000000003</v>
      </c>
      <c r="Y33" s="82">
        <v>3324.1329999999998</v>
      </c>
      <c r="Z33" s="155">
        <v>1005.077</v>
      </c>
    </row>
    <row r="34" spans="1:26" x14ac:dyDescent="0.25">
      <c r="A34" s="404"/>
      <c r="B34" s="95" t="s">
        <v>171</v>
      </c>
      <c r="C34" s="236">
        <v>1128.9000000000001</v>
      </c>
      <c r="D34" s="82">
        <v>236.25</v>
      </c>
      <c r="E34" s="82">
        <v>140.44999999999999</v>
      </c>
      <c r="F34" s="82">
        <v>31.9</v>
      </c>
      <c r="G34" s="82">
        <v>1537.5</v>
      </c>
      <c r="H34" s="155">
        <v>408.6</v>
      </c>
      <c r="I34" s="82">
        <v>2129.3380000000002</v>
      </c>
      <c r="J34" s="82">
        <v>529.06799999999998</v>
      </c>
      <c r="K34" s="82">
        <v>247.791</v>
      </c>
      <c r="L34" s="82">
        <v>63.356999999999999</v>
      </c>
      <c r="M34" s="82">
        <v>2969.5540000000001</v>
      </c>
      <c r="N34" s="82">
        <v>840.21600000000001</v>
      </c>
      <c r="O34" s="236">
        <v>2403.453</v>
      </c>
      <c r="P34" s="82">
        <v>700.64800000000002</v>
      </c>
      <c r="Q34" s="82">
        <v>279.61700000000002</v>
      </c>
      <c r="R34" s="82">
        <v>82.506</v>
      </c>
      <c r="S34" s="82">
        <v>3466.2240000000002</v>
      </c>
      <c r="T34" s="155">
        <v>1062.771</v>
      </c>
      <c r="U34" s="82">
        <v>2283.9670000000001</v>
      </c>
      <c r="V34" s="82">
        <v>696.06200000000001</v>
      </c>
      <c r="W34" s="82">
        <v>279.233</v>
      </c>
      <c r="X34" s="82">
        <v>83.778000000000006</v>
      </c>
      <c r="Y34" s="82">
        <v>3343.04</v>
      </c>
      <c r="Z34" s="155">
        <v>1059.0730000000001</v>
      </c>
    </row>
    <row r="35" spans="1:26" x14ac:dyDescent="0.25">
      <c r="A35" s="405"/>
      <c r="B35" s="239" t="s">
        <v>26</v>
      </c>
      <c r="C35" s="240">
        <v>6895.7</v>
      </c>
      <c r="D35" s="241">
        <v>1491.1</v>
      </c>
      <c r="E35" s="241">
        <v>757.15</v>
      </c>
      <c r="F35" s="241">
        <v>140.69999999999999</v>
      </c>
      <c r="G35" s="241">
        <v>9284.65</v>
      </c>
      <c r="H35" s="242">
        <v>2388.9499999999998</v>
      </c>
      <c r="I35" s="241">
        <v>8597.3970000000008</v>
      </c>
      <c r="J35" s="241">
        <v>2447.2159999999999</v>
      </c>
      <c r="K35" s="241">
        <v>1009.133</v>
      </c>
      <c r="L35" s="241">
        <v>249.113</v>
      </c>
      <c r="M35" s="241">
        <v>12302.859</v>
      </c>
      <c r="N35" s="241">
        <v>3705.462</v>
      </c>
      <c r="O35" s="240">
        <v>9136.0840000000007</v>
      </c>
      <c r="P35" s="241">
        <v>3047.7739999999999</v>
      </c>
      <c r="Q35" s="241">
        <v>1161.838</v>
      </c>
      <c r="R35" s="241">
        <v>322.24900000000002</v>
      </c>
      <c r="S35" s="241">
        <v>13667.945</v>
      </c>
      <c r="T35" s="242">
        <v>4531.8609999999999</v>
      </c>
      <c r="U35" s="241">
        <v>9225.8670000000002</v>
      </c>
      <c r="V35" s="241">
        <v>3198.9609999999998</v>
      </c>
      <c r="W35" s="241">
        <v>1233.7470000000001</v>
      </c>
      <c r="X35" s="241">
        <v>342.84500000000003</v>
      </c>
      <c r="Y35" s="241">
        <v>14001.42</v>
      </c>
      <c r="Z35" s="242">
        <v>4775.5529999999999</v>
      </c>
    </row>
    <row r="36" spans="1:26" x14ac:dyDescent="0.25">
      <c r="A36" s="404" t="s">
        <v>148</v>
      </c>
      <c r="B36" s="95" t="s">
        <v>169</v>
      </c>
      <c r="C36" s="236">
        <v>2353.1</v>
      </c>
      <c r="D36" s="82">
        <v>777.65</v>
      </c>
      <c r="E36" s="82">
        <v>304.39999999999998</v>
      </c>
      <c r="F36" s="82">
        <v>82.2</v>
      </c>
      <c r="G36" s="82">
        <v>3517.35</v>
      </c>
      <c r="H36" s="155">
        <v>1164.25</v>
      </c>
      <c r="I36" s="82">
        <v>2267.8049999999998</v>
      </c>
      <c r="J36" s="82">
        <v>960.67700000000002</v>
      </c>
      <c r="K36" s="82">
        <v>373.99400000000003</v>
      </c>
      <c r="L36" s="82">
        <v>103.48699999999999</v>
      </c>
      <c r="M36" s="82">
        <v>3705.9630000000002</v>
      </c>
      <c r="N36" s="82">
        <v>1438.1579999999999</v>
      </c>
      <c r="O36" s="236">
        <v>2448.2339999999999</v>
      </c>
      <c r="P36" s="82">
        <v>1106.22</v>
      </c>
      <c r="Q36" s="82">
        <v>454.55399999999997</v>
      </c>
      <c r="R36" s="82">
        <v>120.93300000000001</v>
      </c>
      <c r="S36" s="82">
        <v>4129.9409999999998</v>
      </c>
      <c r="T36" s="155">
        <v>1681.7070000000001</v>
      </c>
      <c r="U36" s="82">
        <v>2598.4070000000002</v>
      </c>
      <c r="V36" s="82">
        <v>1176.912</v>
      </c>
      <c r="W36" s="82">
        <v>499.97800000000001</v>
      </c>
      <c r="X36" s="82">
        <v>130.852</v>
      </c>
      <c r="Y36" s="82">
        <v>4406.1490000000003</v>
      </c>
      <c r="Z36" s="155">
        <v>1807.742</v>
      </c>
    </row>
    <row r="37" spans="1:26" x14ac:dyDescent="0.25">
      <c r="A37" s="404"/>
      <c r="B37" s="95" t="s">
        <v>170</v>
      </c>
      <c r="C37" s="236">
        <v>624.6</v>
      </c>
      <c r="D37" s="82">
        <v>184.35</v>
      </c>
      <c r="E37" s="82">
        <v>74.400000000000006</v>
      </c>
      <c r="F37" s="82">
        <v>25.1</v>
      </c>
      <c r="G37" s="82">
        <v>908.45</v>
      </c>
      <c r="H37" s="155">
        <v>283.85000000000002</v>
      </c>
      <c r="I37" s="82">
        <v>879.62800000000004</v>
      </c>
      <c r="J37" s="82">
        <v>323.536</v>
      </c>
      <c r="K37" s="82">
        <v>114.81699999999999</v>
      </c>
      <c r="L37" s="82">
        <v>31.1</v>
      </c>
      <c r="M37" s="82">
        <v>1349.0809999999999</v>
      </c>
      <c r="N37" s="82">
        <v>469.45299999999997</v>
      </c>
      <c r="O37" s="236">
        <v>890.91399999999999</v>
      </c>
      <c r="P37" s="82">
        <v>378.875</v>
      </c>
      <c r="Q37" s="82">
        <v>139.77199999999999</v>
      </c>
      <c r="R37" s="82">
        <v>37.771999999999998</v>
      </c>
      <c r="S37" s="82">
        <v>1447.3330000000001</v>
      </c>
      <c r="T37" s="155">
        <v>556.41899999999998</v>
      </c>
      <c r="U37" s="82">
        <v>863.62099999999998</v>
      </c>
      <c r="V37" s="82">
        <v>365.58199999999999</v>
      </c>
      <c r="W37" s="82">
        <v>153.49299999999999</v>
      </c>
      <c r="X37" s="82">
        <v>33.597999999999999</v>
      </c>
      <c r="Y37" s="82">
        <v>1416.2940000000001</v>
      </c>
      <c r="Z37" s="155">
        <v>552.673</v>
      </c>
    </row>
    <row r="38" spans="1:26" x14ac:dyDescent="0.25">
      <c r="A38" s="404"/>
      <c r="B38" s="95" t="s">
        <v>171</v>
      </c>
      <c r="C38" s="236">
        <v>635.45000000000005</v>
      </c>
      <c r="D38" s="82">
        <v>160.6</v>
      </c>
      <c r="E38" s="82">
        <v>75.849999999999994</v>
      </c>
      <c r="F38" s="82">
        <v>17.899999999999999</v>
      </c>
      <c r="G38" s="82">
        <v>889.8</v>
      </c>
      <c r="H38" s="155">
        <v>254.35</v>
      </c>
      <c r="I38" s="82">
        <v>816.80399999999997</v>
      </c>
      <c r="J38" s="82">
        <v>287.65899999999999</v>
      </c>
      <c r="K38" s="82">
        <v>128.71600000000001</v>
      </c>
      <c r="L38" s="82">
        <v>35.122999999999998</v>
      </c>
      <c r="M38" s="82">
        <v>1268.3019999999999</v>
      </c>
      <c r="N38" s="82">
        <v>451.49799999999999</v>
      </c>
      <c r="O38" s="236">
        <v>921.81500000000005</v>
      </c>
      <c r="P38" s="82">
        <v>377.64499999999998</v>
      </c>
      <c r="Q38" s="82">
        <v>159.25</v>
      </c>
      <c r="R38" s="82">
        <v>42.503</v>
      </c>
      <c r="S38" s="82">
        <v>1501.213</v>
      </c>
      <c r="T38" s="155">
        <v>579.39800000000002</v>
      </c>
      <c r="U38" s="82">
        <v>925.23500000000001</v>
      </c>
      <c r="V38" s="82">
        <v>391.87799999999999</v>
      </c>
      <c r="W38" s="82">
        <v>153.65600000000001</v>
      </c>
      <c r="X38" s="82">
        <v>46.527999999999999</v>
      </c>
      <c r="Y38" s="82">
        <v>1517.297</v>
      </c>
      <c r="Z38" s="155">
        <v>592.06200000000001</v>
      </c>
    </row>
    <row r="39" spans="1:26" x14ac:dyDescent="0.25">
      <c r="A39" s="404"/>
      <c r="B39" s="95" t="s">
        <v>26</v>
      </c>
      <c r="C39" s="236">
        <v>3613.15</v>
      </c>
      <c r="D39" s="82">
        <v>1122.5999999999999</v>
      </c>
      <c r="E39" s="82">
        <v>454.65</v>
      </c>
      <c r="F39" s="82">
        <v>125.2</v>
      </c>
      <c r="G39" s="82">
        <v>5315.6</v>
      </c>
      <c r="H39" s="155">
        <v>1702.45</v>
      </c>
      <c r="I39" s="82">
        <v>3964.2370000000001</v>
      </c>
      <c r="J39" s="82">
        <v>1571.8720000000001</v>
      </c>
      <c r="K39" s="82">
        <v>617.52700000000004</v>
      </c>
      <c r="L39" s="82">
        <v>169.71</v>
      </c>
      <c r="M39" s="82">
        <v>6323.3459999999995</v>
      </c>
      <c r="N39" s="82">
        <v>2359.1089999999999</v>
      </c>
      <c r="O39" s="236">
        <v>4260.9629999999997</v>
      </c>
      <c r="P39" s="82">
        <v>1862.74</v>
      </c>
      <c r="Q39" s="82">
        <v>753.57600000000002</v>
      </c>
      <c r="R39" s="82">
        <v>201.208</v>
      </c>
      <c r="S39" s="82">
        <v>7078.4870000000001</v>
      </c>
      <c r="T39" s="155">
        <v>2817.5239999999999</v>
      </c>
      <c r="U39" s="82">
        <v>4387.2629999999999</v>
      </c>
      <c r="V39" s="82">
        <v>1934.3720000000001</v>
      </c>
      <c r="W39" s="82">
        <v>807.12699999999995</v>
      </c>
      <c r="X39" s="82">
        <v>210.97800000000001</v>
      </c>
      <c r="Y39" s="82">
        <v>7339.74</v>
      </c>
      <c r="Z39" s="155">
        <v>2952.4769999999999</v>
      </c>
    </row>
    <row r="40" spans="1:26" x14ac:dyDescent="0.25">
      <c r="A40" s="224" t="s">
        <v>176</v>
      </c>
      <c r="B40" s="225"/>
      <c r="C40" s="237"/>
      <c r="D40" s="63"/>
      <c r="E40" s="63"/>
      <c r="F40" s="63"/>
      <c r="G40" s="63"/>
      <c r="H40" s="156"/>
      <c r="I40" s="63"/>
      <c r="J40" s="63"/>
      <c r="K40" s="63"/>
      <c r="L40" s="63"/>
      <c r="M40" s="63"/>
      <c r="N40" s="63"/>
      <c r="O40" s="237"/>
      <c r="P40" s="63"/>
      <c r="Q40" s="63"/>
      <c r="R40" s="63"/>
      <c r="S40" s="63"/>
      <c r="T40" s="156"/>
      <c r="U40" s="63"/>
      <c r="V40" s="63"/>
      <c r="W40" s="63"/>
      <c r="X40" s="63"/>
      <c r="Y40" s="63"/>
      <c r="Z40" s="156"/>
    </row>
    <row r="41" spans="1:26" x14ac:dyDescent="0.25">
      <c r="A41" s="404" t="s">
        <v>177</v>
      </c>
      <c r="B41" s="95" t="s">
        <v>169</v>
      </c>
      <c r="C41" s="236">
        <v>765.05</v>
      </c>
      <c r="D41" s="82">
        <v>517.65</v>
      </c>
      <c r="E41" s="82">
        <v>952.2</v>
      </c>
      <c r="F41" s="82">
        <v>603.79999999999995</v>
      </c>
      <c r="G41" s="82">
        <v>2838.7</v>
      </c>
      <c r="H41" s="155">
        <v>2073.65</v>
      </c>
      <c r="I41" s="82">
        <v>756.32</v>
      </c>
      <c r="J41" s="82">
        <v>560.83900000000006</v>
      </c>
      <c r="K41" s="82">
        <v>824.40200000000004</v>
      </c>
      <c r="L41" s="82">
        <v>580.995</v>
      </c>
      <c r="M41" s="82">
        <v>2722.556</v>
      </c>
      <c r="N41" s="82">
        <v>1966.2360000000001</v>
      </c>
      <c r="O41" s="236">
        <v>732.31100000000004</v>
      </c>
      <c r="P41" s="82">
        <v>671.78499999999997</v>
      </c>
      <c r="Q41" s="82">
        <v>779.09299999999996</v>
      </c>
      <c r="R41" s="82">
        <v>538.80200000000002</v>
      </c>
      <c r="S41" s="82">
        <v>2721.991</v>
      </c>
      <c r="T41" s="155">
        <v>1989.68</v>
      </c>
      <c r="U41" s="82">
        <v>736.82100000000003</v>
      </c>
      <c r="V41" s="82">
        <v>670.57500000000005</v>
      </c>
      <c r="W41" s="82">
        <v>793.18</v>
      </c>
      <c r="X41" s="82">
        <v>521.81100000000004</v>
      </c>
      <c r="Y41" s="82">
        <v>2722.3870000000002</v>
      </c>
      <c r="Z41" s="155">
        <v>1985.566</v>
      </c>
    </row>
    <row r="42" spans="1:26" x14ac:dyDescent="0.25">
      <c r="A42" s="404"/>
      <c r="B42" s="95" t="s">
        <v>170</v>
      </c>
      <c r="C42" s="236">
        <v>600.20000000000005</v>
      </c>
      <c r="D42" s="82">
        <v>423</v>
      </c>
      <c r="E42" s="82">
        <v>668.65</v>
      </c>
      <c r="F42" s="82">
        <v>349.8</v>
      </c>
      <c r="G42" s="82">
        <v>2041.65</v>
      </c>
      <c r="H42" s="155">
        <v>1441.45</v>
      </c>
      <c r="I42" s="82">
        <v>654.09199999999998</v>
      </c>
      <c r="J42" s="82">
        <v>497.11799999999999</v>
      </c>
      <c r="K42" s="82">
        <v>666.02300000000002</v>
      </c>
      <c r="L42" s="82">
        <v>433.41199999999998</v>
      </c>
      <c r="M42" s="82">
        <v>2250.645</v>
      </c>
      <c r="N42" s="82">
        <v>1596.5530000000001</v>
      </c>
      <c r="O42" s="236">
        <v>625.93799999999999</v>
      </c>
      <c r="P42" s="82">
        <v>562.62699999999995</v>
      </c>
      <c r="Q42" s="82">
        <v>627.79899999999998</v>
      </c>
      <c r="R42" s="82">
        <v>406.56200000000001</v>
      </c>
      <c r="S42" s="82">
        <v>2222.9259999999999</v>
      </c>
      <c r="T42" s="155">
        <v>1596.9880000000001</v>
      </c>
      <c r="U42" s="82">
        <v>590.94600000000003</v>
      </c>
      <c r="V42" s="82">
        <v>566.86300000000006</v>
      </c>
      <c r="W42" s="82">
        <v>608.35500000000002</v>
      </c>
      <c r="X42" s="82">
        <v>383.91</v>
      </c>
      <c r="Y42" s="82">
        <v>2150.0740000000001</v>
      </c>
      <c r="Z42" s="155">
        <v>1559.1279999999999</v>
      </c>
    </row>
    <row r="43" spans="1:26" x14ac:dyDescent="0.25">
      <c r="A43" s="404"/>
      <c r="B43" s="95" t="s">
        <v>171</v>
      </c>
      <c r="C43" s="236">
        <v>4183.45</v>
      </c>
      <c r="D43" s="82">
        <v>1443.85</v>
      </c>
      <c r="E43" s="82">
        <v>1169.6500000000001</v>
      </c>
      <c r="F43" s="82">
        <v>559.70000000000005</v>
      </c>
      <c r="G43" s="82">
        <v>7356.65</v>
      </c>
      <c r="H43" s="155">
        <v>3173.2</v>
      </c>
      <c r="I43" s="82">
        <v>4857.2719999999999</v>
      </c>
      <c r="J43" s="82">
        <v>2079.59</v>
      </c>
      <c r="K43" s="82">
        <v>1321.4069999999999</v>
      </c>
      <c r="L43" s="82">
        <v>775.07799999999997</v>
      </c>
      <c r="M43" s="82">
        <v>9033.3469999999998</v>
      </c>
      <c r="N43" s="82">
        <v>4176.0749999999998</v>
      </c>
      <c r="O43" s="236">
        <v>5827.915</v>
      </c>
      <c r="P43" s="82">
        <v>2853.306</v>
      </c>
      <c r="Q43" s="82">
        <v>1437.9929999999999</v>
      </c>
      <c r="R43" s="82">
        <v>808.495</v>
      </c>
      <c r="S43" s="82">
        <v>10927.709000000001</v>
      </c>
      <c r="T43" s="155">
        <v>5099.7939999999999</v>
      </c>
      <c r="U43" s="82">
        <v>5571.0420000000004</v>
      </c>
      <c r="V43" s="82">
        <v>2858.1109999999999</v>
      </c>
      <c r="W43" s="82">
        <v>1437.086</v>
      </c>
      <c r="X43" s="82">
        <v>776.96600000000001</v>
      </c>
      <c r="Y43" s="82">
        <v>10643.205</v>
      </c>
      <c r="Z43" s="155">
        <v>5072.1629999999996</v>
      </c>
    </row>
    <row r="44" spans="1:26" x14ac:dyDescent="0.25">
      <c r="A44" s="405"/>
      <c r="B44" s="239" t="s">
        <v>26</v>
      </c>
      <c r="C44" s="240">
        <v>5548.7</v>
      </c>
      <c r="D44" s="241">
        <v>2384.5</v>
      </c>
      <c r="E44" s="241">
        <v>2790.5</v>
      </c>
      <c r="F44" s="241">
        <v>1513.3</v>
      </c>
      <c r="G44" s="241">
        <v>12237</v>
      </c>
      <c r="H44" s="242">
        <v>6688.3</v>
      </c>
      <c r="I44" s="241">
        <v>6267.6840000000002</v>
      </c>
      <c r="J44" s="241">
        <v>3137.547</v>
      </c>
      <c r="K44" s="241">
        <v>2811.8319999999999</v>
      </c>
      <c r="L44" s="241">
        <v>1789.4849999999999</v>
      </c>
      <c r="M44" s="241">
        <v>14006.548000000001</v>
      </c>
      <c r="N44" s="241">
        <v>7738.8639999999996</v>
      </c>
      <c r="O44" s="240">
        <v>7186.1639999999998</v>
      </c>
      <c r="P44" s="241">
        <v>4087.7179999999998</v>
      </c>
      <c r="Q44" s="241">
        <v>2844.8850000000002</v>
      </c>
      <c r="R44" s="241">
        <v>1753.8589999999999</v>
      </c>
      <c r="S44" s="241">
        <v>15872.626</v>
      </c>
      <c r="T44" s="242">
        <v>8686.4619999999995</v>
      </c>
      <c r="U44" s="241">
        <v>6898.8090000000002</v>
      </c>
      <c r="V44" s="241">
        <v>4095.549</v>
      </c>
      <c r="W44" s="241">
        <v>2838.6210000000001</v>
      </c>
      <c r="X44" s="241">
        <v>1682.6869999999999</v>
      </c>
      <c r="Y44" s="241">
        <v>15515.665999999999</v>
      </c>
      <c r="Z44" s="242">
        <v>8616.857</v>
      </c>
    </row>
    <row r="45" spans="1:26" x14ac:dyDescent="0.25">
      <c r="A45" s="403" t="s">
        <v>178</v>
      </c>
      <c r="B45" s="243" t="s">
        <v>169</v>
      </c>
      <c r="C45" s="244">
        <v>2672.6</v>
      </c>
      <c r="D45" s="245">
        <v>1300.5999999999999</v>
      </c>
      <c r="E45" s="245">
        <v>2561.4</v>
      </c>
      <c r="F45" s="245">
        <v>1182.7</v>
      </c>
      <c r="G45" s="245">
        <v>7717.3</v>
      </c>
      <c r="H45" s="246">
        <v>5044.7</v>
      </c>
      <c r="I45" s="245">
        <v>2238.85</v>
      </c>
      <c r="J45" s="245">
        <v>1441.1469999999999</v>
      </c>
      <c r="K45" s="245">
        <v>2113.7370000000001</v>
      </c>
      <c r="L45" s="245">
        <v>1236.107</v>
      </c>
      <c r="M45" s="245">
        <v>7029.8410000000003</v>
      </c>
      <c r="N45" s="245">
        <v>4790.991</v>
      </c>
      <c r="O45" s="244">
        <v>1893.6130000000001</v>
      </c>
      <c r="P45" s="245">
        <v>1573.4269999999999</v>
      </c>
      <c r="Q45" s="245">
        <v>2149.239</v>
      </c>
      <c r="R45" s="245">
        <v>1334.52</v>
      </c>
      <c r="S45" s="245">
        <v>6950.799</v>
      </c>
      <c r="T45" s="246">
        <v>5057.1859999999997</v>
      </c>
      <c r="U45" s="245">
        <v>1854.8209999999999</v>
      </c>
      <c r="V45" s="245">
        <v>1564.8430000000001</v>
      </c>
      <c r="W45" s="245">
        <v>2123.13</v>
      </c>
      <c r="X45" s="245">
        <v>1322.7170000000001</v>
      </c>
      <c r="Y45" s="245">
        <v>6865.5110000000004</v>
      </c>
      <c r="Z45" s="246">
        <v>5010.6899999999996</v>
      </c>
    </row>
    <row r="46" spans="1:26" x14ac:dyDescent="0.25">
      <c r="A46" s="404"/>
      <c r="B46" s="95" t="s">
        <v>170</v>
      </c>
      <c r="C46" s="236">
        <v>2978.25</v>
      </c>
      <c r="D46" s="82">
        <v>759.05</v>
      </c>
      <c r="E46" s="82">
        <v>868.45</v>
      </c>
      <c r="F46" s="82">
        <v>362.1</v>
      </c>
      <c r="G46" s="82">
        <v>4967.8500000000004</v>
      </c>
      <c r="H46" s="155">
        <v>1989.6</v>
      </c>
      <c r="I46" s="82">
        <v>3239.0160000000001</v>
      </c>
      <c r="J46" s="82">
        <v>1163.4090000000001</v>
      </c>
      <c r="K46" s="82">
        <v>989.91700000000003</v>
      </c>
      <c r="L46" s="82">
        <v>502.78399999999999</v>
      </c>
      <c r="M46" s="82">
        <v>5895.1260000000002</v>
      </c>
      <c r="N46" s="82">
        <v>2656.11</v>
      </c>
      <c r="O46" s="236">
        <v>3245.3679999999999</v>
      </c>
      <c r="P46" s="82">
        <v>1410.336</v>
      </c>
      <c r="Q46" s="82">
        <v>1095.8910000000001</v>
      </c>
      <c r="R46" s="82">
        <v>582.91399999999999</v>
      </c>
      <c r="S46" s="82">
        <v>6334.509</v>
      </c>
      <c r="T46" s="155">
        <v>3089.1410000000001</v>
      </c>
      <c r="U46" s="82">
        <v>3151.9009999999998</v>
      </c>
      <c r="V46" s="82">
        <v>1409.6579999999999</v>
      </c>
      <c r="W46" s="82">
        <v>1121.8800000000001</v>
      </c>
      <c r="X46" s="82">
        <v>570.09500000000003</v>
      </c>
      <c r="Y46" s="82">
        <v>6253.5339999999997</v>
      </c>
      <c r="Z46" s="155">
        <v>3101.6329999999998</v>
      </c>
    </row>
    <row r="47" spans="1:26" x14ac:dyDescent="0.25">
      <c r="A47" s="404"/>
      <c r="B47" s="95" t="s">
        <v>171</v>
      </c>
      <c r="C47" s="236">
        <v>1964.4</v>
      </c>
      <c r="D47" s="82">
        <v>557.20000000000005</v>
      </c>
      <c r="E47" s="82">
        <v>499.95</v>
      </c>
      <c r="F47" s="82">
        <v>243.6</v>
      </c>
      <c r="G47" s="82">
        <v>3265.15</v>
      </c>
      <c r="H47" s="155">
        <v>1300.75</v>
      </c>
      <c r="I47" s="82">
        <v>2743.8229999999999</v>
      </c>
      <c r="J47" s="82">
        <v>1086.192</v>
      </c>
      <c r="K47" s="82">
        <v>710.97799999999995</v>
      </c>
      <c r="L47" s="82">
        <v>370.839</v>
      </c>
      <c r="M47" s="82">
        <v>4911.8320000000003</v>
      </c>
      <c r="N47" s="82">
        <v>2168.009</v>
      </c>
      <c r="O47" s="236">
        <v>3167.3180000000002</v>
      </c>
      <c r="P47" s="82">
        <v>1478.9670000000001</v>
      </c>
      <c r="Q47" s="82">
        <v>914.06399999999996</v>
      </c>
      <c r="R47" s="82">
        <v>473.024</v>
      </c>
      <c r="S47" s="82">
        <v>6033.3729999999996</v>
      </c>
      <c r="T47" s="155">
        <v>2866.0549999999998</v>
      </c>
      <c r="U47" s="82">
        <v>2956.5189999999998</v>
      </c>
      <c r="V47" s="82">
        <v>1404.2860000000001</v>
      </c>
      <c r="W47" s="82">
        <v>901.17499999999995</v>
      </c>
      <c r="X47" s="82">
        <v>473.30099999999999</v>
      </c>
      <c r="Y47" s="82">
        <v>5735.2809999999999</v>
      </c>
      <c r="Z47" s="155">
        <v>2778.7620000000002</v>
      </c>
    </row>
    <row r="48" spans="1:26" x14ac:dyDescent="0.25">
      <c r="A48" s="405"/>
      <c r="B48" s="239" t="s">
        <v>26</v>
      </c>
      <c r="C48" s="240">
        <v>7615.25</v>
      </c>
      <c r="D48" s="241">
        <v>2616.85</v>
      </c>
      <c r="E48" s="241">
        <v>3929.8</v>
      </c>
      <c r="F48" s="241">
        <v>1788.4</v>
      </c>
      <c r="G48" s="241">
        <v>15950.3</v>
      </c>
      <c r="H48" s="242">
        <v>8335.0499999999993</v>
      </c>
      <c r="I48" s="241">
        <v>8221.6890000000003</v>
      </c>
      <c r="J48" s="241">
        <v>3690.748</v>
      </c>
      <c r="K48" s="241">
        <v>3814.6320000000001</v>
      </c>
      <c r="L48" s="241">
        <v>2109.73</v>
      </c>
      <c r="M48" s="241">
        <v>17836.798999999999</v>
      </c>
      <c r="N48" s="241">
        <v>9615.11</v>
      </c>
      <c r="O48" s="240">
        <v>8306.2990000000009</v>
      </c>
      <c r="P48" s="241">
        <v>4462.7299999999996</v>
      </c>
      <c r="Q48" s="241">
        <v>4159.1940000000004</v>
      </c>
      <c r="R48" s="241">
        <v>2390.4580000000001</v>
      </c>
      <c r="S48" s="241">
        <v>19318.681</v>
      </c>
      <c r="T48" s="242">
        <v>11012.382</v>
      </c>
      <c r="U48" s="241">
        <v>7963.241</v>
      </c>
      <c r="V48" s="241">
        <v>4378.7870000000003</v>
      </c>
      <c r="W48" s="241">
        <v>4146.1850000000004</v>
      </c>
      <c r="X48" s="241">
        <v>2366.1129999999998</v>
      </c>
      <c r="Y48" s="241">
        <v>18854.326000000001</v>
      </c>
      <c r="Z48" s="242">
        <v>10891.084999999999</v>
      </c>
    </row>
    <row r="49" spans="1:26" x14ac:dyDescent="0.25">
      <c r="A49" s="403" t="s">
        <v>179</v>
      </c>
      <c r="B49" s="243" t="s">
        <v>169</v>
      </c>
      <c r="C49" s="244">
        <v>5428</v>
      </c>
      <c r="D49" s="245">
        <v>1973.4</v>
      </c>
      <c r="E49" s="245">
        <v>2464.75</v>
      </c>
      <c r="F49" s="245">
        <v>773.95</v>
      </c>
      <c r="G49" s="245">
        <v>10640.1</v>
      </c>
      <c r="H49" s="246">
        <v>5212.1000000000004</v>
      </c>
      <c r="I49" s="245">
        <v>4766.741</v>
      </c>
      <c r="J49" s="245">
        <v>2404.3229999999999</v>
      </c>
      <c r="K49" s="245">
        <v>2141.864</v>
      </c>
      <c r="L49" s="245">
        <v>854.98099999999999</v>
      </c>
      <c r="M49" s="245">
        <v>10167.909</v>
      </c>
      <c r="N49" s="245">
        <v>5401.1679999999997</v>
      </c>
      <c r="O49" s="244">
        <v>4258.8419999999996</v>
      </c>
      <c r="P49" s="245">
        <v>2562.4879999999998</v>
      </c>
      <c r="Q49" s="245">
        <v>2271.0839999999998</v>
      </c>
      <c r="R49" s="245">
        <v>940.76800000000003</v>
      </c>
      <c r="S49" s="245">
        <v>10033.182000000001</v>
      </c>
      <c r="T49" s="246">
        <v>5774.34</v>
      </c>
      <c r="U49" s="245">
        <v>4261.067</v>
      </c>
      <c r="V49" s="245">
        <v>2574.4209999999998</v>
      </c>
      <c r="W49" s="245">
        <v>2391.627</v>
      </c>
      <c r="X49" s="245">
        <v>962.49</v>
      </c>
      <c r="Y49" s="245">
        <v>10189.605</v>
      </c>
      <c r="Z49" s="246">
        <v>5928.5379999999996</v>
      </c>
    </row>
    <row r="50" spans="1:26" x14ac:dyDescent="0.25">
      <c r="A50" s="404"/>
      <c r="B50" s="95" t="s">
        <v>170</v>
      </c>
      <c r="C50" s="236">
        <v>2479.8000000000002</v>
      </c>
      <c r="D50" s="82">
        <v>652.25</v>
      </c>
      <c r="E50" s="82">
        <v>374.4</v>
      </c>
      <c r="F50" s="82">
        <v>95.85</v>
      </c>
      <c r="G50" s="82">
        <v>3602.3</v>
      </c>
      <c r="H50" s="155">
        <v>1122.5</v>
      </c>
      <c r="I50" s="82">
        <v>3006.1390000000001</v>
      </c>
      <c r="J50" s="82">
        <v>1115.366</v>
      </c>
      <c r="K50" s="82">
        <v>511.96</v>
      </c>
      <c r="L50" s="82">
        <v>135.30699999999999</v>
      </c>
      <c r="M50" s="82">
        <v>4768.7719999999999</v>
      </c>
      <c r="N50" s="82">
        <v>1762.633</v>
      </c>
      <c r="O50" s="236">
        <v>3049.875</v>
      </c>
      <c r="P50" s="82">
        <v>1346.39</v>
      </c>
      <c r="Q50" s="82">
        <v>656.13499999999999</v>
      </c>
      <c r="R50" s="82">
        <v>179.50299999999999</v>
      </c>
      <c r="S50" s="82">
        <v>5231.9030000000002</v>
      </c>
      <c r="T50" s="155">
        <v>2182.0279999999998</v>
      </c>
      <c r="U50" s="82">
        <v>2978.2939999999999</v>
      </c>
      <c r="V50" s="82">
        <v>1312.9190000000001</v>
      </c>
      <c r="W50" s="82">
        <v>680.68100000000004</v>
      </c>
      <c r="X50" s="82">
        <v>182.55</v>
      </c>
      <c r="Y50" s="82">
        <v>5154.4440000000004</v>
      </c>
      <c r="Z50" s="155">
        <v>2176.15</v>
      </c>
    </row>
    <row r="51" spans="1:26" x14ac:dyDescent="0.25">
      <c r="A51" s="404"/>
      <c r="B51" s="95" t="s">
        <v>171</v>
      </c>
      <c r="C51" s="236">
        <v>569.20000000000005</v>
      </c>
      <c r="D51" s="82">
        <v>230.9</v>
      </c>
      <c r="E51" s="82">
        <v>132.15</v>
      </c>
      <c r="F51" s="82">
        <v>38.4</v>
      </c>
      <c r="G51" s="82">
        <v>970.65</v>
      </c>
      <c r="H51" s="155">
        <v>401.45</v>
      </c>
      <c r="I51" s="82">
        <v>1188.2059999999999</v>
      </c>
      <c r="J51" s="82">
        <v>523.44399999999996</v>
      </c>
      <c r="K51" s="82">
        <v>219.755</v>
      </c>
      <c r="L51" s="82">
        <v>81.033000000000001</v>
      </c>
      <c r="M51" s="82">
        <v>2012.4380000000001</v>
      </c>
      <c r="N51" s="82">
        <v>824.23199999999997</v>
      </c>
      <c r="O51" s="236">
        <v>1073.008</v>
      </c>
      <c r="P51" s="82">
        <v>623.14200000000005</v>
      </c>
      <c r="Q51" s="82">
        <v>305.68</v>
      </c>
      <c r="R51" s="82">
        <v>103.864</v>
      </c>
      <c r="S51" s="82">
        <v>2105.694</v>
      </c>
      <c r="T51" s="155">
        <v>1032.6859999999999</v>
      </c>
      <c r="U51" s="82">
        <v>971.08199999999999</v>
      </c>
      <c r="V51" s="82">
        <v>565.94500000000005</v>
      </c>
      <c r="W51" s="82">
        <v>310.04399999999998</v>
      </c>
      <c r="X51" s="82">
        <v>117.045</v>
      </c>
      <c r="Y51" s="82">
        <v>1964.116</v>
      </c>
      <c r="Z51" s="155">
        <v>993.03399999999999</v>
      </c>
    </row>
    <row r="52" spans="1:26" x14ac:dyDescent="0.25">
      <c r="A52" s="405"/>
      <c r="B52" s="239" t="s">
        <v>26</v>
      </c>
      <c r="C52" s="240">
        <v>8477</v>
      </c>
      <c r="D52" s="241">
        <v>2856.55</v>
      </c>
      <c r="E52" s="241">
        <v>2971.3</v>
      </c>
      <c r="F52" s="241">
        <v>908.2</v>
      </c>
      <c r="G52" s="241">
        <v>15213.05</v>
      </c>
      <c r="H52" s="242">
        <v>6736.05</v>
      </c>
      <c r="I52" s="241">
        <v>8961.0859999999993</v>
      </c>
      <c r="J52" s="241">
        <v>4043.1329999999998</v>
      </c>
      <c r="K52" s="241">
        <v>2873.5790000000002</v>
      </c>
      <c r="L52" s="241">
        <v>1071.3209999999999</v>
      </c>
      <c r="M52" s="241">
        <v>16949.118999999999</v>
      </c>
      <c r="N52" s="241">
        <v>7988.0330000000004</v>
      </c>
      <c r="O52" s="240">
        <v>8381.7250000000004</v>
      </c>
      <c r="P52" s="241">
        <v>4532.0200000000004</v>
      </c>
      <c r="Q52" s="241">
        <v>3232.8989999999999</v>
      </c>
      <c r="R52" s="241">
        <v>1224.135</v>
      </c>
      <c r="S52" s="241">
        <v>17370.778999999999</v>
      </c>
      <c r="T52" s="242">
        <v>8989.0540000000001</v>
      </c>
      <c r="U52" s="241">
        <v>8210.4429999999993</v>
      </c>
      <c r="V52" s="241">
        <v>4453.2849999999999</v>
      </c>
      <c r="W52" s="241">
        <v>3382.3519999999999</v>
      </c>
      <c r="X52" s="241">
        <v>1262.085</v>
      </c>
      <c r="Y52" s="241">
        <v>17308.165000000001</v>
      </c>
      <c r="Z52" s="242">
        <v>9097.7219999999998</v>
      </c>
    </row>
    <row r="53" spans="1:26" x14ac:dyDescent="0.25">
      <c r="A53" s="403" t="s">
        <v>180</v>
      </c>
      <c r="B53" s="243" t="s">
        <v>169</v>
      </c>
      <c r="C53" s="244">
        <v>12961.1</v>
      </c>
      <c r="D53" s="245">
        <v>4688.55</v>
      </c>
      <c r="E53" s="245">
        <v>2978.15</v>
      </c>
      <c r="F53" s="245">
        <v>697.55</v>
      </c>
      <c r="G53" s="245">
        <v>21325.35</v>
      </c>
      <c r="H53" s="246">
        <v>8364.25</v>
      </c>
      <c r="I53" s="245">
        <v>10412.472</v>
      </c>
      <c r="J53" s="245">
        <v>5375.4610000000002</v>
      </c>
      <c r="K53" s="245">
        <v>2917.2950000000001</v>
      </c>
      <c r="L53" s="245">
        <v>802.68899999999996</v>
      </c>
      <c r="M53" s="245">
        <v>19507.917000000001</v>
      </c>
      <c r="N53" s="245">
        <v>9095.4449999999997</v>
      </c>
      <c r="O53" s="244">
        <v>9450.3739999999998</v>
      </c>
      <c r="P53" s="245">
        <v>5724.9049999999997</v>
      </c>
      <c r="Q53" s="245">
        <v>3242.2890000000002</v>
      </c>
      <c r="R53" s="245">
        <v>917.79600000000005</v>
      </c>
      <c r="S53" s="245">
        <v>19335.364000000001</v>
      </c>
      <c r="T53" s="246">
        <v>9884.99</v>
      </c>
      <c r="U53" s="245">
        <v>9596.0339999999997</v>
      </c>
      <c r="V53" s="245">
        <v>5818.9009999999998</v>
      </c>
      <c r="W53" s="245">
        <v>3495.9259999999999</v>
      </c>
      <c r="X53" s="245">
        <v>965.08</v>
      </c>
      <c r="Y53" s="245">
        <v>19875.940999999999</v>
      </c>
      <c r="Z53" s="246">
        <v>10279.906999999999</v>
      </c>
    </row>
    <row r="54" spans="1:26" x14ac:dyDescent="0.25">
      <c r="A54" s="404"/>
      <c r="B54" s="95" t="s">
        <v>170</v>
      </c>
      <c r="C54" s="236">
        <v>2364.1</v>
      </c>
      <c r="D54" s="82">
        <v>748.35</v>
      </c>
      <c r="E54" s="82">
        <v>225.6</v>
      </c>
      <c r="F54" s="82">
        <v>42.85</v>
      </c>
      <c r="G54" s="82">
        <v>3380.9</v>
      </c>
      <c r="H54" s="155">
        <v>1016.8</v>
      </c>
      <c r="I54" s="82">
        <v>3320.4070000000002</v>
      </c>
      <c r="J54" s="82">
        <v>1344.0219999999999</v>
      </c>
      <c r="K54" s="82">
        <v>409.55200000000002</v>
      </c>
      <c r="L54" s="82">
        <v>77.984999999999999</v>
      </c>
      <c r="M54" s="82">
        <v>5151.9660000000003</v>
      </c>
      <c r="N54" s="82">
        <v>1831.559</v>
      </c>
      <c r="O54" s="236">
        <v>2918.3040000000001</v>
      </c>
      <c r="P54" s="82">
        <v>1537.2449999999999</v>
      </c>
      <c r="Q54" s="82">
        <v>539.02499999999998</v>
      </c>
      <c r="R54" s="82">
        <v>102.685</v>
      </c>
      <c r="S54" s="82">
        <v>5097.259</v>
      </c>
      <c r="T54" s="155">
        <v>2178.9549999999999</v>
      </c>
      <c r="U54" s="82">
        <v>2662.2739999999999</v>
      </c>
      <c r="V54" s="82">
        <v>1459.8969999999999</v>
      </c>
      <c r="W54" s="82">
        <v>572.31100000000004</v>
      </c>
      <c r="X54" s="82">
        <v>100.899</v>
      </c>
      <c r="Y54" s="82">
        <v>4795.3810000000003</v>
      </c>
      <c r="Z54" s="155">
        <v>2133.107</v>
      </c>
    </row>
    <row r="55" spans="1:26" x14ac:dyDescent="0.25">
      <c r="A55" s="404"/>
      <c r="B55" s="95" t="s">
        <v>171</v>
      </c>
      <c r="C55" s="236">
        <v>437.4</v>
      </c>
      <c r="D55" s="82">
        <v>155</v>
      </c>
      <c r="E55" s="82">
        <v>56.15</v>
      </c>
      <c r="F55" s="82">
        <v>18.7</v>
      </c>
      <c r="G55" s="82">
        <v>667.25</v>
      </c>
      <c r="H55" s="155">
        <v>229.85</v>
      </c>
      <c r="I55" s="82">
        <v>917.81600000000003</v>
      </c>
      <c r="J55" s="82">
        <v>396.798</v>
      </c>
      <c r="K55" s="82">
        <v>126.42</v>
      </c>
      <c r="L55" s="82">
        <v>41.845999999999997</v>
      </c>
      <c r="M55" s="82">
        <v>1482.88</v>
      </c>
      <c r="N55" s="82">
        <v>565.06399999999996</v>
      </c>
      <c r="O55" s="236">
        <v>587.05999999999995</v>
      </c>
      <c r="P55" s="82">
        <v>418.99299999999999</v>
      </c>
      <c r="Q55" s="82">
        <v>157.601</v>
      </c>
      <c r="R55" s="82">
        <v>47.948999999999998</v>
      </c>
      <c r="S55" s="82">
        <v>1211.6030000000001</v>
      </c>
      <c r="T55" s="155">
        <v>624.54300000000001</v>
      </c>
      <c r="U55" s="82">
        <v>503.63400000000001</v>
      </c>
      <c r="V55" s="82">
        <v>369.27800000000002</v>
      </c>
      <c r="W55" s="82">
        <v>158.57499999999999</v>
      </c>
      <c r="X55" s="82">
        <v>52.548999999999999</v>
      </c>
      <c r="Y55" s="82">
        <v>1084.0360000000001</v>
      </c>
      <c r="Z55" s="155">
        <v>580.40200000000004</v>
      </c>
    </row>
    <row r="56" spans="1:26" x14ac:dyDescent="0.25">
      <c r="A56" s="405"/>
      <c r="B56" s="239" t="s">
        <v>26</v>
      </c>
      <c r="C56" s="240">
        <v>15762.6</v>
      </c>
      <c r="D56" s="241">
        <v>5591.9</v>
      </c>
      <c r="E56" s="241">
        <v>3259.9</v>
      </c>
      <c r="F56" s="241">
        <v>759.1</v>
      </c>
      <c r="G56" s="241">
        <v>25373.5</v>
      </c>
      <c r="H56" s="242">
        <v>9610.9</v>
      </c>
      <c r="I56" s="241">
        <v>14650.695</v>
      </c>
      <c r="J56" s="241">
        <v>7116.2809999999999</v>
      </c>
      <c r="K56" s="241">
        <v>3453.2669999999998</v>
      </c>
      <c r="L56" s="241">
        <v>922.52</v>
      </c>
      <c r="M56" s="241">
        <v>26142.762999999999</v>
      </c>
      <c r="N56" s="241">
        <v>11492.067999999999</v>
      </c>
      <c r="O56" s="240">
        <v>12955.737999999999</v>
      </c>
      <c r="P56" s="241">
        <v>7681.143</v>
      </c>
      <c r="Q56" s="241">
        <v>3938.915</v>
      </c>
      <c r="R56" s="241">
        <v>1068.43</v>
      </c>
      <c r="S56" s="241">
        <v>25644.225999999999</v>
      </c>
      <c r="T56" s="242">
        <v>12688.487999999999</v>
      </c>
      <c r="U56" s="241">
        <v>12761.941999999999</v>
      </c>
      <c r="V56" s="241">
        <v>7648.076</v>
      </c>
      <c r="W56" s="241">
        <v>4226.8119999999999</v>
      </c>
      <c r="X56" s="241">
        <v>1118.528</v>
      </c>
      <c r="Y56" s="241">
        <v>25755.358</v>
      </c>
      <c r="Z56" s="242">
        <v>12993.415999999999</v>
      </c>
    </row>
    <row r="57" spans="1:26" x14ac:dyDescent="0.25">
      <c r="A57" s="404" t="s">
        <v>181</v>
      </c>
      <c r="B57" s="95" t="s">
        <v>169</v>
      </c>
      <c r="C57" s="236">
        <v>20544.55</v>
      </c>
      <c r="D57" s="82">
        <v>9688.7999999999993</v>
      </c>
      <c r="E57" s="82">
        <v>2948.25</v>
      </c>
      <c r="F57" s="82">
        <v>593.29999999999995</v>
      </c>
      <c r="G57" s="82">
        <v>33774.9</v>
      </c>
      <c r="H57" s="155">
        <v>13230.35</v>
      </c>
      <c r="I57" s="82">
        <v>17702.605</v>
      </c>
      <c r="J57" s="82">
        <v>11492.396000000001</v>
      </c>
      <c r="K57" s="82">
        <v>3221.0729999999999</v>
      </c>
      <c r="L57" s="82">
        <v>693.75199999999995</v>
      </c>
      <c r="M57" s="82">
        <v>33109.826000000001</v>
      </c>
      <c r="N57" s="82">
        <v>15407.221</v>
      </c>
      <c r="O57" s="236">
        <v>16664.536</v>
      </c>
      <c r="P57" s="82">
        <v>12214.733</v>
      </c>
      <c r="Q57" s="82">
        <v>3723.1840000000002</v>
      </c>
      <c r="R57" s="82">
        <v>735.98500000000001</v>
      </c>
      <c r="S57" s="82">
        <v>33338.438000000002</v>
      </c>
      <c r="T57" s="155">
        <v>16673.901999999998</v>
      </c>
      <c r="U57" s="82">
        <v>17521.23</v>
      </c>
      <c r="V57" s="82">
        <v>12797.315000000001</v>
      </c>
      <c r="W57" s="82">
        <v>4278.1850000000004</v>
      </c>
      <c r="X57" s="82">
        <v>827.48199999999997</v>
      </c>
      <c r="Y57" s="82">
        <v>35424.212</v>
      </c>
      <c r="Z57" s="155">
        <v>17902.982</v>
      </c>
    </row>
    <row r="58" spans="1:26" x14ac:dyDescent="0.25">
      <c r="A58" s="404"/>
      <c r="B58" s="95" t="s">
        <v>170</v>
      </c>
      <c r="C58" s="236">
        <v>1345.4</v>
      </c>
      <c r="D58" s="82">
        <v>520</v>
      </c>
      <c r="E58" s="82">
        <v>93.65</v>
      </c>
      <c r="F58" s="82">
        <v>13.85</v>
      </c>
      <c r="G58" s="82">
        <v>1972.9</v>
      </c>
      <c r="H58" s="155">
        <v>627.5</v>
      </c>
      <c r="I58" s="82">
        <v>2453.4369999999999</v>
      </c>
      <c r="J58" s="82">
        <v>1047.5229999999999</v>
      </c>
      <c r="K58" s="82">
        <v>192.42500000000001</v>
      </c>
      <c r="L58" s="82">
        <v>28.757000000000001</v>
      </c>
      <c r="M58" s="82">
        <v>3722.1419999999998</v>
      </c>
      <c r="N58" s="82">
        <v>1268.7049999999999</v>
      </c>
      <c r="O58" s="236">
        <v>1710.7850000000001</v>
      </c>
      <c r="P58" s="82">
        <v>1029.0429999999999</v>
      </c>
      <c r="Q58" s="82">
        <v>259.91300000000001</v>
      </c>
      <c r="R58" s="82">
        <v>38.356000000000002</v>
      </c>
      <c r="S58" s="82">
        <v>3038.0970000000002</v>
      </c>
      <c r="T58" s="155">
        <v>1327.3119999999999</v>
      </c>
      <c r="U58" s="82">
        <v>1485.875</v>
      </c>
      <c r="V58" s="82">
        <v>968.88</v>
      </c>
      <c r="W58" s="82">
        <v>267.8</v>
      </c>
      <c r="X58" s="82">
        <v>42.947000000000003</v>
      </c>
      <c r="Y58" s="82">
        <v>2765.502</v>
      </c>
      <c r="Z58" s="155">
        <v>1279.627</v>
      </c>
    </row>
    <row r="59" spans="1:26" x14ac:dyDescent="0.25">
      <c r="A59" s="404"/>
      <c r="B59" s="95" t="s">
        <v>171</v>
      </c>
      <c r="C59" s="236">
        <v>119.85</v>
      </c>
      <c r="D59" s="82">
        <v>63.95</v>
      </c>
      <c r="E59" s="82">
        <v>9.9</v>
      </c>
      <c r="F59" s="82">
        <v>4.4000000000000004</v>
      </c>
      <c r="G59" s="82">
        <v>198.1</v>
      </c>
      <c r="H59" s="155">
        <v>78.25</v>
      </c>
      <c r="I59" s="82">
        <v>382.44900000000001</v>
      </c>
      <c r="J59" s="82">
        <v>184.495</v>
      </c>
      <c r="K59" s="82">
        <v>37.808</v>
      </c>
      <c r="L59" s="82">
        <v>6.0140000000000002</v>
      </c>
      <c r="M59" s="82">
        <v>610.76599999999996</v>
      </c>
      <c r="N59" s="82">
        <v>228.31700000000001</v>
      </c>
      <c r="O59" s="236">
        <v>201.27500000000001</v>
      </c>
      <c r="P59" s="82">
        <v>157.44200000000001</v>
      </c>
      <c r="Q59" s="82">
        <v>45.545000000000002</v>
      </c>
      <c r="R59" s="82">
        <v>4.6059999999999999</v>
      </c>
      <c r="S59" s="82">
        <v>408.86799999999999</v>
      </c>
      <c r="T59" s="155">
        <v>207.59299999999999</v>
      </c>
      <c r="U59" s="82">
        <v>153.22999999999999</v>
      </c>
      <c r="V59" s="82">
        <v>145.714</v>
      </c>
      <c r="W59" s="82">
        <v>41.646000000000001</v>
      </c>
      <c r="X59" s="82">
        <v>5.7610000000000001</v>
      </c>
      <c r="Y59" s="82">
        <v>346.351</v>
      </c>
      <c r="Z59" s="155">
        <v>193.12100000000001</v>
      </c>
    </row>
    <row r="60" spans="1:26" ht="15.75" thickBot="1" x14ac:dyDescent="0.3">
      <c r="A60" s="410"/>
      <c r="B60" s="226" t="s">
        <v>26</v>
      </c>
      <c r="C60" s="238">
        <v>22009.8</v>
      </c>
      <c r="D60" s="157">
        <v>10272.75</v>
      </c>
      <c r="E60" s="157">
        <v>3051.8</v>
      </c>
      <c r="F60" s="157">
        <v>611.54999999999995</v>
      </c>
      <c r="G60" s="157">
        <v>35945.9</v>
      </c>
      <c r="H60" s="158">
        <v>13936.1</v>
      </c>
      <c r="I60" s="157">
        <v>20538.491000000002</v>
      </c>
      <c r="J60" s="157">
        <v>12724.414000000001</v>
      </c>
      <c r="K60" s="157">
        <v>3451.306</v>
      </c>
      <c r="L60" s="157">
        <v>728.52300000000002</v>
      </c>
      <c r="M60" s="157">
        <v>37442.733999999997</v>
      </c>
      <c r="N60" s="157">
        <v>16904.242999999999</v>
      </c>
      <c r="O60" s="238">
        <v>18576.596000000001</v>
      </c>
      <c r="P60" s="157">
        <v>13401.218000000001</v>
      </c>
      <c r="Q60" s="157">
        <v>4028.6419999999998</v>
      </c>
      <c r="R60" s="157">
        <v>778.947</v>
      </c>
      <c r="S60" s="157">
        <v>36785.402999999998</v>
      </c>
      <c r="T60" s="158">
        <v>18208.807000000001</v>
      </c>
      <c r="U60" s="157">
        <v>19160.334999999999</v>
      </c>
      <c r="V60" s="157">
        <v>13911.909</v>
      </c>
      <c r="W60" s="157">
        <v>4587.6310000000003</v>
      </c>
      <c r="X60" s="157">
        <v>876.19</v>
      </c>
      <c r="Y60" s="157">
        <v>38536.065000000002</v>
      </c>
      <c r="Z60" s="158">
        <v>19375.73</v>
      </c>
    </row>
    <row r="61" spans="1:26" x14ac:dyDescent="0.25">
      <c r="A61" s="64" t="s">
        <v>233</v>
      </c>
    </row>
    <row r="62" spans="1:26" x14ac:dyDescent="0.25">
      <c r="A62" s="65" t="s">
        <v>183</v>
      </c>
    </row>
  </sheetData>
  <mergeCells count="19">
    <mergeCell ref="A57:A60"/>
    <mergeCell ref="A32:A35"/>
    <mergeCell ref="A36:A39"/>
    <mergeCell ref="A41:A44"/>
    <mergeCell ref="A45:A48"/>
    <mergeCell ref="A49:A52"/>
    <mergeCell ref="A53:A56"/>
    <mergeCell ref="U4:Z4"/>
    <mergeCell ref="A5:B5"/>
    <mergeCell ref="A28:A31"/>
    <mergeCell ref="A4:B4"/>
    <mergeCell ref="C4:H4"/>
    <mergeCell ref="I4:N4"/>
    <mergeCell ref="O4:T4"/>
    <mergeCell ref="A6:A9"/>
    <mergeCell ref="A11:A14"/>
    <mergeCell ref="A15:A18"/>
    <mergeCell ref="A19:A22"/>
    <mergeCell ref="A24:A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sheetViews>
  <sheetFormatPr defaultRowHeight="15" x14ac:dyDescent="0.25"/>
  <cols>
    <col min="1" max="1" width="12.42578125" style="16" customWidth="1"/>
    <col min="2" max="2" width="23" style="58" customWidth="1"/>
    <col min="3" max="16384" width="9.140625" style="58"/>
  </cols>
  <sheetData>
    <row r="1" spans="1:26" ht="15.75" x14ac:dyDescent="0.25">
      <c r="A1" s="220" t="s">
        <v>211</v>
      </c>
    </row>
    <row r="2" spans="1:26" ht="15.75" x14ac:dyDescent="0.25">
      <c r="A2" s="222"/>
    </row>
    <row r="3" spans="1:26" ht="15.75" thickBot="1" x14ac:dyDescent="0.3">
      <c r="A3" s="221" t="s">
        <v>186</v>
      </c>
    </row>
    <row r="4" spans="1:26" s="16" customFormat="1" ht="15" customHeight="1" x14ac:dyDescent="0.25">
      <c r="A4" s="406"/>
      <c r="B4" s="407"/>
      <c r="C4" s="415">
        <v>2000</v>
      </c>
      <c r="D4" s="411"/>
      <c r="E4" s="411"/>
      <c r="F4" s="411"/>
      <c r="G4" s="411"/>
      <c r="H4" s="412"/>
      <c r="I4" s="411">
        <v>2007</v>
      </c>
      <c r="J4" s="411"/>
      <c r="K4" s="411"/>
      <c r="L4" s="411"/>
      <c r="M4" s="411"/>
      <c r="N4" s="411"/>
      <c r="O4" s="415">
        <v>2011</v>
      </c>
      <c r="P4" s="411"/>
      <c r="Q4" s="411"/>
      <c r="R4" s="411"/>
      <c r="S4" s="411"/>
      <c r="T4" s="412"/>
      <c r="U4" s="411">
        <v>2012</v>
      </c>
      <c r="V4" s="411"/>
      <c r="W4" s="411"/>
      <c r="X4" s="411"/>
      <c r="Y4" s="411"/>
      <c r="Z4" s="412"/>
    </row>
    <row r="5" spans="1:26" ht="30" x14ac:dyDescent="0.25">
      <c r="A5" s="413" t="s">
        <v>166</v>
      </c>
      <c r="B5" s="414"/>
      <c r="C5" s="228" t="s">
        <v>1</v>
      </c>
      <c r="D5" s="35" t="s">
        <v>2</v>
      </c>
      <c r="E5" s="35" t="s">
        <v>167</v>
      </c>
      <c r="F5" s="35" t="s">
        <v>145</v>
      </c>
      <c r="G5" s="35" t="s">
        <v>26</v>
      </c>
      <c r="H5" s="36" t="s">
        <v>187</v>
      </c>
      <c r="I5" s="227" t="s">
        <v>1</v>
      </c>
      <c r="J5" s="35" t="s">
        <v>2</v>
      </c>
      <c r="K5" s="35" t="s">
        <v>167</v>
      </c>
      <c r="L5" s="35" t="s">
        <v>145</v>
      </c>
      <c r="M5" s="35" t="s">
        <v>26</v>
      </c>
      <c r="N5" s="179" t="s">
        <v>168</v>
      </c>
      <c r="O5" s="228" t="s">
        <v>1</v>
      </c>
      <c r="P5" s="35" t="s">
        <v>2</v>
      </c>
      <c r="Q5" s="35" t="s">
        <v>167</v>
      </c>
      <c r="R5" s="35" t="s">
        <v>145</v>
      </c>
      <c r="S5" s="35" t="s">
        <v>26</v>
      </c>
      <c r="T5" s="36" t="s">
        <v>168</v>
      </c>
      <c r="U5" s="227" t="s">
        <v>1</v>
      </c>
      <c r="V5" s="35" t="s">
        <v>2</v>
      </c>
      <c r="W5" s="35" t="s">
        <v>167</v>
      </c>
      <c r="X5" s="35" t="s">
        <v>145</v>
      </c>
      <c r="Y5" s="35" t="s">
        <v>26</v>
      </c>
      <c r="Z5" s="36" t="s">
        <v>168</v>
      </c>
    </row>
    <row r="6" spans="1:26" x14ac:dyDescent="0.25">
      <c r="A6" s="403" t="s">
        <v>140</v>
      </c>
      <c r="B6" s="3" t="s">
        <v>169</v>
      </c>
      <c r="C6" s="229">
        <v>71.3</v>
      </c>
      <c r="D6" s="66">
        <v>76.599999999999994</v>
      </c>
      <c r="E6" s="66">
        <v>74.400000000000006</v>
      </c>
      <c r="F6" s="66">
        <v>69</v>
      </c>
      <c r="G6" s="66">
        <v>72.900000000000006</v>
      </c>
      <c r="H6" s="159">
        <v>74.900000000000006</v>
      </c>
      <c r="I6" s="66">
        <v>61.2</v>
      </c>
      <c r="J6" s="66">
        <v>69.3</v>
      </c>
      <c r="K6" s="66">
        <v>68.400000000000006</v>
      </c>
      <c r="L6" s="66">
        <v>63</v>
      </c>
      <c r="M6" s="66">
        <v>64.5</v>
      </c>
      <c r="N6" s="66">
        <v>68.2</v>
      </c>
      <c r="O6" s="229">
        <v>59.6</v>
      </c>
      <c r="P6" s="66">
        <v>66.599999999999994</v>
      </c>
      <c r="Q6" s="66">
        <v>66.8</v>
      </c>
      <c r="R6" s="66">
        <v>61.9</v>
      </c>
      <c r="S6" s="66">
        <v>62.9</v>
      </c>
      <c r="T6" s="159">
        <v>66.099999999999994</v>
      </c>
      <c r="U6" s="66">
        <v>61.8</v>
      </c>
      <c r="V6" s="66">
        <v>67.900000000000006</v>
      </c>
      <c r="W6" s="66">
        <v>68.2</v>
      </c>
      <c r="X6" s="66">
        <v>63</v>
      </c>
      <c r="Y6" s="66">
        <v>64.7</v>
      </c>
      <c r="Z6" s="159">
        <v>67.400000000000006</v>
      </c>
    </row>
    <row r="7" spans="1:26" x14ac:dyDescent="0.25">
      <c r="A7" s="404"/>
      <c r="B7" s="3" t="s">
        <v>170</v>
      </c>
      <c r="C7" s="229">
        <v>16.399999999999999</v>
      </c>
      <c r="D7" s="66">
        <v>13.1</v>
      </c>
      <c r="E7" s="66">
        <v>13.9</v>
      </c>
      <c r="F7" s="66">
        <v>15.5</v>
      </c>
      <c r="G7" s="66">
        <v>15.2</v>
      </c>
      <c r="H7" s="159">
        <v>13.7</v>
      </c>
      <c r="I7" s="66">
        <v>21.6</v>
      </c>
      <c r="J7" s="66">
        <v>16.8</v>
      </c>
      <c r="K7" s="66">
        <v>16.899999999999999</v>
      </c>
      <c r="L7" s="66">
        <v>17.8</v>
      </c>
      <c r="M7" s="66">
        <v>19.399999999999999</v>
      </c>
      <c r="N7" s="66">
        <v>17</v>
      </c>
      <c r="O7" s="229">
        <v>20.8</v>
      </c>
      <c r="P7" s="66">
        <v>17.2</v>
      </c>
      <c r="Q7" s="66">
        <v>17.5</v>
      </c>
      <c r="R7" s="66">
        <v>18.2</v>
      </c>
      <c r="S7" s="66">
        <v>19.100000000000001</v>
      </c>
      <c r="T7" s="159">
        <v>17.399999999999999</v>
      </c>
      <c r="U7" s="66">
        <v>19.8</v>
      </c>
      <c r="V7" s="66">
        <v>16.600000000000001</v>
      </c>
      <c r="W7" s="66">
        <v>16.899999999999999</v>
      </c>
      <c r="X7" s="66">
        <v>17.5</v>
      </c>
      <c r="Y7" s="66">
        <v>18.2</v>
      </c>
      <c r="Z7" s="159">
        <v>16.8</v>
      </c>
    </row>
    <row r="8" spans="1:26" x14ac:dyDescent="0.25">
      <c r="A8" s="404"/>
      <c r="B8" s="3" t="s">
        <v>171</v>
      </c>
      <c r="C8" s="229">
        <v>12.2</v>
      </c>
      <c r="D8" s="66">
        <v>10.3</v>
      </c>
      <c r="E8" s="66">
        <v>11.7</v>
      </c>
      <c r="F8" s="66">
        <v>15.5</v>
      </c>
      <c r="G8" s="66">
        <v>11.9</v>
      </c>
      <c r="H8" s="159">
        <v>11.4</v>
      </c>
      <c r="I8" s="66">
        <v>17.2</v>
      </c>
      <c r="J8" s="66">
        <v>13.9</v>
      </c>
      <c r="K8" s="66">
        <v>14.7</v>
      </c>
      <c r="L8" s="66">
        <v>19.3</v>
      </c>
      <c r="M8" s="66">
        <v>16.100000000000001</v>
      </c>
      <c r="N8" s="66">
        <v>14.8</v>
      </c>
      <c r="O8" s="229">
        <v>19.600000000000001</v>
      </c>
      <c r="P8" s="66">
        <v>16.2</v>
      </c>
      <c r="Q8" s="66">
        <v>15.7</v>
      </c>
      <c r="R8" s="66">
        <v>19.899999999999999</v>
      </c>
      <c r="S8" s="66">
        <v>18</v>
      </c>
      <c r="T8" s="159">
        <v>16.5</v>
      </c>
      <c r="U8" s="66">
        <v>18.5</v>
      </c>
      <c r="V8" s="66">
        <v>15.5</v>
      </c>
      <c r="W8" s="66">
        <v>14.9</v>
      </c>
      <c r="X8" s="66">
        <v>19.5</v>
      </c>
      <c r="Y8" s="66">
        <v>17.100000000000001</v>
      </c>
      <c r="Z8" s="159">
        <v>15.8</v>
      </c>
    </row>
    <row r="9" spans="1:26" x14ac:dyDescent="0.25">
      <c r="A9" s="404"/>
      <c r="B9" s="95" t="s">
        <v>188</v>
      </c>
      <c r="C9" s="230">
        <v>28.7</v>
      </c>
      <c r="D9" s="83">
        <v>23.4</v>
      </c>
      <c r="E9" s="83">
        <v>25.6</v>
      </c>
      <c r="F9" s="83">
        <v>31</v>
      </c>
      <c r="G9" s="83">
        <v>27.1</v>
      </c>
      <c r="H9" s="160">
        <v>25.1</v>
      </c>
      <c r="I9" s="83">
        <v>38.799999999999997</v>
      </c>
      <c r="J9" s="83">
        <v>30.7</v>
      </c>
      <c r="K9" s="83">
        <v>31.6</v>
      </c>
      <c r="L9" s="83">
        <v>37</v>
      </c>
      <c r="M9" s="83">
        <v>35.5</v>
      </c>
      <c r="N9" s="83">
        <v>31.8</v>
      </c>
      <c r="O9" s="230">
        <v>40.4</v>
      </c>
      <c r="P9" s="83">
        <v>33.4</v>
      </c>
      <c r="Q9" s="83">
        <v>33.200000000000003</v>
      </c>
      <c r="R9" s="83">
        <v>38.1</v>
      </c>
      <c r="S9" s="83">
        <v>37.1</v>
      </c>
      <c r="T9" s="160">
        <v>33.9</v>
      </c>
      <c r="U9" s="83">
        <v>38.200000000000003</v>
      </c>
      <c r="V9" s="83">
        <v>32.1</v>
      </c>
      <c r="W9" s="83">
        <v>31.8</v>
      </c>
      <c r="X9" s="83">
        <v>37</v>
      </c>
      <c r="Y9" s="83">
        <v>35.299999999999997</v>
      </c>
      <c r="Z9" s="160">
        <v>32.6</v>
      </c>
    </row>
    <row r="10" spans="1:26" x14ac:dyDescent="0.25">
      <c r="A10" s="223" t="s">
        <v>0</v>
      </c>
      <c r="B10" s="225"/>
      <c r="C10" s="231"/>
      <c r="D10" s="67"/>
      <c r="E10" s="67"/>
      <c r="F10" s="67"/>
      <c r="G10" s="67"/>
      <c r="H10" s="161"/>
      <c r="I10" s="67"/>
      <c r="J10" s="67"/>
      <c r="K10" s="67"/>
      <c r="L10" s="67"/>
      <c r="M10" s="67"/>
      <c r="N10" s="67"/>
      <c r="O10" s="231"/>
      <c r="P10" s="67"/>
      <c r="Q10" s="67"/>
      <c r="R10" s="67"/>
      <c r="S10" s="67"/>
      <c r="T10" s="161"/>
      <c r="U10" s="67"/>
      <c r="V10" s="67"/>
      <c r="W10" s="67"/>
      <c r="X10" s="67"/>
      <c r="Y10" s="67"/>
      <c r="Z10" s="161"/>
    </row>
    <row r="11" spans="1:26" x14ac:dyDescent="0.25">
      <c r="A11" s="404" t="s">
        <v>172</v>
      </c>
      <c r="B11" s="3" t="s">
        <v>169</v>
      </c>
      <c r="C11" s="229">
        <v>74.900000000000006</v>
      </c>
      <c r="D11" s="66">
        <v>74.400000000000006</v>
      </c>
      <c r="E11" s="66">
        <v>59</v>
      </c>
      <c r="F11" s="66">
        <v>47.6</v>
      </c>
      <c r="G11" s="66">
        <v>73.3</v>
      </c>
      <c r="H11" s="159">
        <v>70.3</v>
      </c>
      <c r="I11" s="66">
        <v>63.4</v>
      </c>
      <c r="J11" s="66">
        <v>66.5</v>
      </c>
      <c r="K11" s="66">
        <v>53</v>
      </c>
      <c r="L11" s="66">
        <v>38.4</v>
      </c>
      <c r="M11" s="66">
        <v>63.1</v>
      </c>
      <c r="N11" s="66">
        <v>62.7</v>
      </c>
      <c r="O11" s="229">
        <v>66.5</v>
      </c>
      <c r="P11" s="66">
        <v>65.2</v>
      </c>
      <c r="Q11" s="66">
        <v>52.7</v>
      </c>
      <c r="R11" s="66">
        <v>37.5</v>
      </c>
      <c r="S11" s="66">
        <v>63.9</v>
      </c>
      <c r="T11" s="159">
        <v>61.2</v>
      </c>
      <c r="U11" s="66">
        <v>70.099999999999994</v>
      </c>
      <c r="V11" s="66">
        <v>67.599999999999994</v>
      </c>
      <c r="W11" s="66">
        <v>55.4</v>
      </c>
      <c r="X11" s="66">
        <v>39.5</v>
      </c>
      <c r="Y11" s="66">
        <v>66.7</v>
      </c>
      <c r="Z11" s="159">
        <v>63.5</v>
      </c>
    </row>
    <row r="12" spans="1:26" x14ac:dyDescent="0.25">
      <c r="A12" s="404"/>
      <c r="B12" s="3" t="s">
        <v>170</v>
      </c>
      <c r="C12" s="229">
        <v>17</v>
      </c>
      <c r="D12" s="66">
        <v>15.7</v>
      </c>
      <c r="E12" s="66">
        <v>22</v>
      </c>
      <c r="F12" s="66">
        <v>22.9</v>
      </c>
      <c r="G12" s="66">
        <v>17.100000000000001</v>
      </c>
      <c r="H12" s="159">
        <v>17.3</v>
      </c>
      <c r="I12" s="66">
        <v>23.3</v>
      </c>
      <c r="J12" s="66">
        <v>19.899999999999999</v>
      </c>
      <c r="K12" s="66">
        <v>24.3</v>
      </c>
      <c r="L12" s="66">
        <v>24.7</v>
      </c>
      <c r="M12" s="66">
        <v>22.3</v>
      </c>
      <c r="N12" s="66">
        <v>21</v>
      </c>
      <c r="O12" s="229">
        <v>21</v>
      </c>
      <c r="P12" s="66">
        <v>19.899999999999999</v>
      </c>
      <c r="Q12" s="66">
        <v>24.7</v>
      </c>
      <c r="R12" s="66">
        <v>26.7</v>
      </c>
      <c r="S12" s="66">
        <v>21.2</v>
      </c>
      <c r="T12" s="159">
        <v>21.3</v>
      </c>
      <c r="U12" s="66">
        <v>19.100000000000001</v>
      </c>
      <c r="V12" s="66">
        <v>18.8</v>
      </c>
      <c r="W12" s="66">
        <v>23.8</v>
      </c>
      <c r="X12" s="66">
        <v>25.8</v>
      </c>
      <c r="Y12" s="66">
        <v>19.7</v>
      </c>
      <c r="Z12" s="159">
        <v>20.3</v>
      </c>
    </row>
    <row r="13" spans="1:26" x14ac:dyDescent="0.25">
      <c r="A13" s="404"/>
      <c r="B13" s="3" t="s">
        <v>171</v>
      </c>
      <c r="C13" s="229">
        <v>8.1</v>
      </c>
      <c r="D13" s="66">
        <v>9.9</v>
      </c>
      <c r="E13" s="66">
        <v>19</v>
      </c>
      <c r="F13" s="66">
        <v>29.5</v>
      </c>
      <c r="G13" s="66">
        <v>9.6</v>
      </c>
      <c r="H13" s="159">
        <v>12.4</v>
      </c>
      <c r="I13" s="66">
        <v>13.3</v>
      </c>
      <c r="J13" s="66">
        <v>13.6</v>
      </c>
      <c r="K13" s="66">
        <v>22.7</v>
      </c>
      <c r="L13" s="66">
        <v>36.9</v>
      </c>
      <c r="M13" s="66">
        <v>14.5</v>
      </c>
      <c r="N13" s="66">
        <v>16.2</v>
      </c>
      <c r="O13" s="229">
        <v>12.5</v>
      </c>
      <c r="P13" s="66">
        <v>14.9</v>
      </c>
      <c r="Q13" s="66">
        <v>22.6</v>
      </c>
      <c r="R13" s="66">
        <v>35.799999999999997</v>
      </c>
      <c r="S13" s="66">
        <v>15</v>
      </c>
      <c r="T13" s="159">
        <v>17.5</v>
      </c>
      <c r="U13" s="66">
        <v>10.9</v>
      </c>
      <c r="V13" s="66">
        <v>13.6</v>
      </c>
      <c r="W13" s="66">
        <v>20.8</v>
      </c>
      <c r="X13" s="66">
        <v>34.799999999999997</v>
      </c>
      <c r="Y13" s="66">
        <v>13.6</v>
      </c>
      <c r="Z13" s="159">
        <v>16.2</v>
      </c>
    </row>
    <row r="14" spans="1:26" x14ac:dyDescent="0.25">
      <c r="A14" s="404"/>
      <c r="B14" s="95" t="s">
        <v>188</v>
      </c>
      <c r="C14" s="230">
        <v>25.1</v>
      </c>
      <c r="D14" s="83">
        <v>25.6</v>
      </c>
      <c r="E14" s="83">
        <v>41</v>
      </c>
      <c r="F14" s="83">
        <v>52.4</v>
      </c>
      <c r="G14" s="83">
        <v>26.7</v>
      </c>
      <c r="H14" s="160">
        <v>29.7</v>
      </c>
      <c r="I14" s="83">
        <v>36.6</v>
      </c>
      <c r="J14" s="83">
        <v>33.5</v>
      </c>
      <c r="K14" s="83">
        <v>47</v>
      </c>
      <c r="L14" s="83">
        <v>61.6</v>
      </c>
      <c r="M14" s="83">
        <v>36.9</v>
      </c>
      <c r="N14" s="83">
        <v>37.299999999999997</v>
      </c>
      <c r="O14" s="230">
        <v>33.5</v>
      </c>
      <c r="P14" s="83">
        <v>34.799999999999997</v>
      </c>
      <c r="Q14" s="83">
        <v>47.3</v>
      </c>
      <c r="R14" s="83">
        <v>62.5</v>
      </c>
      <c r="S14" s="83">
        <v>36.1</v>
      </c>
      <c r="T14" s="160">
        <v>38.799999999999997</v>
      </c>
      <c r="U14" s="83">
        <v>29.9</v>
      </c>
      <c r="V14" s="83">
        <v>32.4</v>
      </c>
      <c r="W14" s="83">
        <v>44.6</v>
      </c>
      <c r="X14" s="83">
        <v>60.5</v>
      </c>
      <c r="Y14" s="83">
        <v>33.299999999999997</v>
      </c>
      <c r="Z14" s="160">
        <v>36.5</v>
      </c>
    </row>
    <row r="15" spans="1:26" x14ac:dyDescent="0.25">
      <c r="A15" s="404" t="s">
        <v>173</v>
      </c>
      <c r="B15" s="95" t="s">
        <v>169</v>
      </c>
      <c r="C15" s="230">
        <v>91.4</v>
      </c>
      <c r="D15" s="83">
        <v>90.3</v>
      </c>
      <c r="E15" s="83">
        <v>87.2</v>
      </c>
      <c r="F15" s="83">
        <v>80.400000000000006</v>
      </c>
      <c r="G15" s="83">
        <v>87.9</v>
      </c>
      <c r="H15" s="160">
        <v>87</v>
      </c>
      <c r="I15" s="83">
        <v>87.4</v>
      </c>
      <c r="J15" s="83">
        <v>88.1</v>
      </c>
      <c r="K15" s="83">
        <v>83.9</v>
      </c>
      <c r="L15" s="83">
        <v>75.7</v>
      </c>
      <c r="M15" s="83">
        <v>84.3</v>
      </c>
      <c r="N15" s="83">
        <v>83.7</v>
      </c>
      <c r="O15" s="230">
        <v>83.9</v>
      </c>
      <c r="P15" s="83">
        <v>86.3</v>
      </c>
      <c r="Q15" s="83">
        <v>84.4</v>
      </c>
      <c r="R15" s="83">
        <v>75.900000000000006</v>
      </c>
      <c r="S15" s="83">
        <v>83.4</v>
      </c>
      <c r="T15" s="160">
        <v>83.3</v>
      </c>
      <c r="U15" s="83">
        <v>84.8</v>
      </c>
      <c r="V15" s="83">
        <v>86.8</v>
      </c>
      <c r="W15" s="83">
        <v>85.6</v>
      </c>
      <c r="X15" s="83">
        <v>77.099999999999994</v>
      </c>
      <c r="Y15" s="83">
        <v>84.4</v>
      </c>
      <c r="Z15" s="160">
        <v>84.3</v>
      </c>
    </row>
    <row r="16" spans="1:26" x14ac:dyDescent="0.25">
      <c r="A16" s="404"/>
      <c r="B16" s="95" t="s">
        <v>170</v>
      </c>
      <c r="C16" s="230">
        <v>3.6</v>
      </c>
      <c r="D16" s="83">
        <v>4.4000000000000004</v>
      </c>
      <c r="E16" s="83">
        <v>7.4</v>
      </c>
      <c r="F16" s="83">
        <v>11.8</v>
      </c>
      <c r="G16" s="83">
        <v>6.4</v>
      </c>
      <c r="H16" s="160">
        <v>7.2</v>
      </c>
      <c r="I16" s="83">
        <v>5.9</v>
      </c>
      <c r="J16" s="83">
        <v>5.8</v>
      </c>
      <c r="K16" s="83">
        <v>9.8000000000000007</v>
      </c>
      <c r="L16" s="83">
        <v>14.3</v>
      </c>
      <c r="M16" s="83">
        <v>8.6999999999999993</v>
      </c>
      <c r="N16" s="83">
        <v>9.3000000000000007</v>
      </c>
      <c r="O16" s="230">
        <v>7</v>
      </c>
      <c r="P16" s="83">
        <v>6.2</v>
      </c>
      <c r="Q16" s="83">
        <v>9.3000000000000007</v>
      </c>
      <c r="R16" s="83">
        <v>14.2</v>
      </c>
      <c r="S16" s="83">
        <v>8.8000000000000007</v>
      </c>
      <c r="T16" s="160">
        <v>9.1999999999999993</v>
      </c>
      <c r="U16" s="83">
        <v>6.8</v>
      </c>
      <c r="V16" s="83">
        <v>5.8</v>
      </c>
      <c r="W16" s="83">
        <v>8.6</v>
      </c>
      <c r="X16" s="83">
        <v>13.4</v>
      </c>
      <c r="Y16" s="83">
        <v>8.3000000000000007</v>
      </c>
      <c r="Z16" s="160">
        <v>8.6</v>
      </c>
    </row>
    <row r="17" spans="1:26" x14ac:dyDescent="0.25">
      <c r="A17" s="404"/>
      <c r="B17" s="95" t="s">
        <v>171</v>
      </c>
      <c r="C17" s="230">
        <v>5</v>
      </c>
      <c r="D17" s="83">
        <v>5.3</v>
      </c>
      <c r="E17" s="83">
        <v>5.4</v>
      </c>
      <c r="F17" s="83">
        <v>7.8</v>
      </c>
      <c r="G17" s="83">
        <v>5.6</v>
      </c>
      <c r="H17" s="160">
        <v>5.8</v>
      </c>
      <c r="I17" s="83">
        <v>6.7</v>
      </c>
      <c r="J17" s="83">
        <v>6.1</v>
      </c>
      <c r="K17" s="83">
        <v>6.3</v>
      </c>
      <c r="L17" s="83">
        <v>10</v>
      </c>
      <c r="M17" s="83">
        <v>7</v>
      </c>
      <c r="N17" s="83">
        <v>7</v>
      </c>
      <c r="O17" s="230">
        <v>9.1</v>
      </c>
      <c r="P17" s="83">
        <v>7.5</v>
      </c>
      <c r="Q17" s="83">
        <v>6.3</v>
      </c>
      <c r="R17" s="83">
        <v>9.9</v>
      </c>
      <c r="S17" s="83">
        <v>7.8</v>
      </c>
      <c r="T17" s="160">
        <v>7.5</v>
      </c>
      <c r="U17" s="83">
        <v>8.4</v>
      </c>
      <c r="V17" s="83">
        <v>7.4</v>
      </c>
      <c r="W17" s="83">
        <v>5.8</v>
      </c>
      <c r="X17" s="83">
        <v>9.5</v>
      </c>
      <c r="Y17" s="83">
        <v>7.3</v>
      </c>
      <c r="Z17" s="160">
        <v>7.1</v>
      </c>
    </row>
    <row r="18" spans="1:26" x14ac:dyDescent="0.25">
      <c r="A18" s="404"/>
      <c r="B18" s="95" t="s">
        <v>188</v>
      </c>
      <c r="C18" s="230">
        <v>8.6</v>
      </c>
      <c r="D18" s="83">
        <v>9.6999999999999993</v>
      </c>
      <c r="E18" s="83">
        <v>12.8</v>
      </c>
      <c r="F18" s="83">
        <v>19.600000000000001</v>
      </c>
      <c r="G18" s="83">
        <v>12.1</v>
      </c>
      <c r="H18" s="160">
        <v>13</v>
      </c>
      <c r="I18" s="83">
        <v>12.6</v>
      </c>
      <c r="J18" s="83">
        <v>11.9</v>
      </c>
      <c r="K18" s="83">
        <v>16.100000000000001</v>
      </c>
      <c r="L18" s="83">
        <v>24.3</v>
      </c>
      <c r="M18" s="83">
        <v>15.7</v>
      </c>
      <c r="N18" s="83">
        <v>16.3</v>
      </c>
      <c r="O18" s="230">
        <v>16.100000000000001</v>
      </c>
      <c r="P18" s="83">
        <v>13.7</v>
      </c>
      <c r="Q18" s="83">
        <v>15.6</v>
      </c>
      <c r="R18" s="83">
        <v>24.1</v>
      </c>
      <c r="S18" s="83">
        <v>16.600000000000001</v>
      </c>
      <c r="T18" s="160">
        <v>16.7</v>
      </c>
      <c r="U18" s="83">
        <v>15.2</v>
      </c>
      <c r="V18" s="83">
        <v>13.2</v>
      </c>
      <c r="W18" s="83">
        <v>14.4</v>
      </c>
      <c r="X18" s="83">
        <v>22.9</v>
      </c>
      <c r="Y18" s="83">
        <v>15.6</v>
      </c>
      <c r="Z18" s="160">
        <v>15.7</v>
      </c>
    </row>
    <row r="19" spans="1:26" x14ac:dyDescent="0.25">
      <c r="A19" s="404" t="s">
        <v>174</v>
      </c>
      <c r="B19" s="95" t="s">
        <v>169</v>
      </c>
      <c r="C19" s="230">
        <v>63.1</v>
      </c>
      <c r="D19" s="83">
        <v>63.2</v>
      </c>
      <c r="E19" s="83">
        <v>51.5</v>
      </c>
      <c r="F19" s="83">
        <v>45.4</v>
      </c>
      <c r="G19" s="83">
        <v>61.4</v>
      </c>
      <c r="H19" s="160">
        <v>56.7</v>
      </c>
      <c r="I19" s="83">
        <v>54.4</v>
      </c>
      <c r="J19" s="83">
        <v>56</v>
      </c>
      <c r="K19" s="83">
        <v>49.6</v>
      </c>
      <c r="L19" s="83">
        <v>42.6</v>
      </c>
      <c r="M19" s="83">
        <v>53.7</v>
      </c>
      <c r="N19" s="83">
        <v>52.3</v>
      </c>
      <c r="O19" s="230">
        <v>49.6</v>
      </c>
      <c r="P19" s="83">
        <v>51</v>
      </c>
      <c r="Q19" s="83">
        <v>47.2</v>
      </c>
      <c r="R19" s="83">
        <v>40.9</v>
      </c>
      <c r="S19" s="83">
        <v>49.3</v>
      </c>
      <c r="T19" s="160">
        <v>48.6</v>
      </c>
      <c r="U19" s="83">
        <v>51.3</v>
      </c>
      <c r="V19" s="83">
        <v>51.4</v>
      </c>
      <c r="W19" s="83">
        <v>48</v>
      </c>
      <c r="X19" s="83">
        <v>41.4</v>
      </c>
      <c r="Y19" s="83">
        <v>50.6</v>
      </c>
      <c r="Z19" s="160">
        <v>49.2</v>
      </c>
    </row>
    <row r="20" spans="1:26" x14ac:dyDescent="0.25">
      <c r="A20" s="404"/>
      <c r="B20" s="95" t="s">
        <v>170</v>
      </c>
      <c r="C20" s="230">
        <v>18.600000000000001</v>
      </c>
      <c r="D20" s="83">
        <v>18.600000000000001</v>
      </c>
      <c r="E20" s="83">
        <v>25.3</v>
      </c>
      <c r="F20" s="83">
        <v>23</v>
      </c>
      <c r="G20" s="83">
        <v>19.3</v>
      </c>
      <c r="H20" s="160">
        <v>21.4</v>
      </c>
      <c r="I20" s="83">
        <v>22.1</v>
      </c>
      <c r="J20" s="83">
        <v>20.9</v>
      </c>
      <c r="K20" s="83">
        <v>24.9</v>
      </c>
      <c r="L20" s="83">
        <v>23.2</v>
      </c>
      <c r="M20" s="83">
        <v>22.2</v>
      </c>
      <c r="N20" s="83">
        <v>22.3</v>
      </c>
      <c r="O20" s="230">
        <v>22.7</v>
      </c>
      <c r="P20" s="83">
        <v>21.8</v>
      </c>
      <c r="Q20" s="83">
        <v>25.3</v>
      </c>
      <c r="R20" s="83">
        <v>23.5</v>
      </c>
      <c r="S20" s="83">
        <v>22.8</v>
      </c>
      <c r="T20" s="160">
        <v>23</v>
      </c>
      <c r="U20" s="83">
        <v>22.2</v>
      </c>
      <c r="V20" s="83">
        <v>21.7</v>
      </c>
      <c r="W20" s="83">
        <v>25.5</v>
      </c>
      <c r="X20" s="83">
        <v>23.1</v>
      </c>
      <c r="Y20" s="83">
        <v>22.5</v>
      </c>
      <c r="Z20" s="160">
        <v>22.9</v>
      </c>
    </row>
    <row r="21" spans="1:26" x14ac:dyDescent="0.25">
      <c r="A21" s="404"/>
      <c r="B21" s="95" t="s">
        <v>171</v>
      </c>
      <c r="C21" s="230">
        <v>18.3</v>
      </c>
      <c r="D21" s="83">
        <v>18.3</v>
      </c>
      <c r="E21" s="83">
        <v>23.1</v>
      </c>
      <c r="F21" s="83">
        <v>31.6</v>
      </c>
      <c r="G21" s="83">
        <v>19.2</v>
      </c>
      <c r="H21" s="160">
        <v>21.9</v>
      </c>
      <c r="I21" s="83">
        <v>23.5</v>
      </c>
      <c r="J21" s="83">
        <v>23.1</v>
      </c>
      <c r="K21" s="83">
        <v>25.4</v>
      </c>
      <c r="L21" s="83">
        <v>34.200000000000003</v>
      </c>
      <c r="M21" s="83">
        <v>24.1</v>
      </c>
      <c r="N21" s="83">
        <v>25.4</v>
      </c>
      <c r="O21" s="230">
        <v>27.7</v>
      </c>
      <c r="P21" s="83">
        <v>27.2</v>
      </c>
      <c r="Q21" s="83">
        <v>27.4</v>
      </c>
      <c r="R21" s="83">
        <v>35.6</v>
      </c>
      <c r="S21" s="83">
        <v>27.9</v>
      </c>
      <c r="T21" s="160">
        <v>28.4</v>
      </c>
      <c r="U21" s="83">
        <v>26.5</v>
      </c>
      <c r="V21" s="83">
        <v>26.9</v>
      </c>
      <c r="W21" s="83">
        <v>26.5</v>
      </c>
      <c r="X21" s="83">
        <v>35.5</v>
      </c>
      <c r="Y21" s="83">
        <v>27</v>
      </c>
      <c r="Z21" s="160">
        <v>27.9</v>
      </c>
    </row>
    <row r="22" spans="1:26" x14ac:dyDescent="0.25">
      <c r="A22" s="404"/>
      <c r="B22" s="95" t="s">
        <v>188</v>
      </c>
      <c r="C22" s="230">
        <v>36.9</v>
      </c>
      <c r="D22" s="83">
        <v>36.799999999999997</v>
      </c>
      <c r="E22" s="83">
        <v>48.5</v>
      </c>
      <c r="F22" s="83">
        <v>54.6</v>
      </c>
      <c r="G22" s="83">
        <v>38.6</v>
      </c>
      <c r="H22" s="160">
        <v>43.3</v>
      </c>
      <c r="I22" s="83">
        <v>45.6</v>
      </c>
      <c r="J22" s="83">
        <v>44</v>
      </c>
      <c r="K22" s="83">
        <v>50.4</v>
      </c>
      <c r="L22" s="83">
        <v>57.4</v>
      </c>
      <c r="M22" s="83">
        <v>46.3</v>
      </c>
      <c r="N22" s="83">
        <v>47.7</v>
      </c>
      <c r="O22" s="230">
        <v>50.4</v>
      </c>
      <c r="P22" s="83">
        <v>49</v>
      </c>
      <c r="Q22" s="83">
        <v>52.8</v>
      </c>
      <c r="R22" s="83">
        <v>59.1</v>
      </c>
      <c r="S22" s="83">
        <v>50.7</v>
      </c>
      <c r="T22" s="160">
        <v>51.4</v>
      </c>
      <c r="U22" s="83">
        <v>48.7</v>
      </c>
      <c r="V22" s="83">
        <v>48.6</v>
      </c>
      <c r="W22" s="83">
        <v>52</v>
      </c>
      <c r="X22" s="83">
        <v>58.6</v>
      </c>
      <c r="Y22" s="83">
        <v>49.4</v>
      </c>
      <c r="Z22" s="160">
        <v>50.8</v>
      </c>
    </row>
    <row r="23" spans="1:26" x14ac:dyDescent="0.25">
      <c r="A23" s="224" t="s">
        <v>175</v>
      </c>
      <c r="B23" s="225"/>
      <c r="C23" s="231"/>
      <c r="D23" s="67"/>
      <c r="E23" s="67"/>
      <c r="F23" s="67"/>
      <c r="G23" s="67"/>
      <c r="H23" s="161"/>
      <c r="I23" s="67"/>
      <c r="J23" s="67"/>
      <c r="K23" s="67"/>
      <c r="L23" s="67"/>
      <c r="M23" s="67"/>
      <c r="N23" s="67"/>
      <c r="O23" s="231"/>
      <c r="P23" s="67"/>
      <c r="Q23" s="67"/>
      <c r="R23" s="67"/>
      <c r="S23" s="67"/>
      <c r="T23" s="161"/>
      <c r="U23" s="67"/>
      <c r="V23" s="67"/>
      <c r="W23" s="67"/>
      <c r="X23" s="67"/>
      <c r="Y23" s="67"/>
      <c r="Z23" s="161"/>
    </row>
    <row r="24" spans="1:26" x14ac:dyDescent="0.25">
      <c r="A24" s="404" t="s">
        <v>147</v>
      </c>
      <c r="B24" s="3" t="s">
        <v>169</v>
      </c>
      <c r="C24" s="229">
        <v>75.2</v>
      </c>
      <c r="D24" s="66">
        <v>79.3</v>
      </c>
      <c r="E24" s="66">
        <v>76.8</v>
      </c>
      <c r="F24" s="66">
        <v>69.900000000000006</v>
      </c>
      <c r="G24" s="66">
        <v>76.099999999999994</v>
      </c>
      <c r="H24" s="159">
        <v>77.2</v>
      </c>
      <c r="I24" s="66">
        <v>66.7</v>
      </c>
      <c r="J24" s="66">
        <v>73.2</v>
      </c>
      <c r="K24" s="66">
        <v>71.7</v>
      </c>
      <c r="L24" s="66">
        <v>64.400000000000006</v>
      </c>
      <c r="M24" s="66">
        <v>69.3</v>
      </c>
      <c r="N24" s="66">
        <v>71.599999999999994</v>
      </c>
      <c r="O24" s="229">
        <v>65.599999999999994</v>
      </c>
      <c r="P24" s="66">
        <v>70.900000000000006</v>
      </c>
      <c r="Q24" s="66">
        <v>70</v>
      </c>
      <c r="R24" s="66">
        <v>63</v>
      </c>
      <c r="S24" s="66">
        <v>67.900000000000006</v>
      </c>
      <c r="T24" s="159">
        <v>69.5</v>
      </c>
      <c r="U24" s="66">
        <v>68.099999999999994</v>
      </c>
      <c r="V24" s="66">
        <v>72.099999999999994</v>
      </c>
      <c r="W24" s="66">
        <v>71.3</v>
      </c>
      <c r="X24" s="66">
        <v>64.099999999999994</v>
      </c>
      <c r="Y24" s="66">
        <v>69.599999999999994</v>
      </c>
      <c r="Z24" s="159">
        <v>70.7</v>
      </c>
    </row>
    <row r="25" spans="1:26" x14ac:dyDescent="0.25">
      <c r="A25" s="404"/>
      <c r="B25" s="3" t="s">
        <v>170</v>
      </c>
      <c r="C25" s="229">
        <v>14.9</v>
      </c>
      <c r="D25" s="66">
        <v>11.9</v>
      </c>
      <c r="E25" s="66">
        <v>13.1</v>
      </c>
      <c r="F25" s="66">
        <v>15.3</v>
      </c>
      <c r="G25" s="66">
        <v>13.9</v>
      </c>
      <c r="H25" s="159">
        <v>12.8</v>
      </c>
      <c r="I25" s="66">
        <v>19.899999999999999</v>
      </c>
      <c r="J25" s="66">
        <v>15.3</v>
      </c>
      <c r="K25" s="66">
        <v>15.8</v>
      </c>
      <c r="L25" s="66">
        <v>17.3</v>
      </c>
      <c r="M25" s="66">
        <v>17.7</v>
      </c>
      <c r="N25" s="66">
        <v>15.8</v>
      </c>
      <c r="O25" s="229">
        <v>19</v>
      </c>
      <c r="P25" s="66">
        <v>15.6</v>
      </c>
      <c r="Q25" s="66">
        <v>16.399999999999999</v>
      </c>
      <c r="R25" s="66">
        <v>17.7</v>
      </c>
      <c r="S25" s="66">
        <v>17.399999999999999</v>
      </c>
      <c r="T25" s="159">
        <v>16.2</v>
      </c>
      <c r="U25" s="66">
        <v>17.7</v>
      </c>
      <c r="V25" s="66">
        <v>15.1</v>
      </c>
      <c r="W25" s="66">
        <v>15.9</v>
      </c>
      <c r="X25" s="66">
        <v>17.2</v>
      </c>
      <c r="Y25" s="66">
        <v>16.5</v>
      </c>
      <c r="Z25" s="159">
        <v>15.7</v>
      </c>
    </row>
    <row r="26" spans="1:26" x14ac:dyDescent="0.25">
      <c r="A26" s="404"/>
      <c r="B26" s="3" t="s">
        <v>171</v>
      </c>
      <c r="C26" s="229">
        <v>9.8000000000000007</v>
      </c>
      <c r="D26" s="66">
        <v>8.6999999999999993</v>
      </c>
      <c r="E26" s="66">
        <v>10.1</v>
      </c>
      <c r="F26" s="66">
        <v>14.8</v>
      </c>
      <c r="G26" s="66">
        <v>9.9</v>
      </c>
      <c r="H26" s="159">
        <v>10</v>
      </c>
      <c r="I26" s="66">
        <v>13.4</v>
      </c>
      <c r="J26" s="66">
        <v>11.4</v>
      </c>
      <c r="K26" s="66">
        <v>12.5</v>
      </c>
      <c r="L26" s="66">
        <v>18.3</v>
      </c>
      <c r="M26" s="66">
        <v>13</v>
      </c>
      <c r="N26" s="66">
        <v>12.7</v>
      </c>
      <c r="O26" s="229">
        <v>15.4</v>
      </c>
      <c r="P26" s="66">
        <v>13.5</v>
      </c>
      <c r="Q26" s="66">
        <v>13.6</v>
      </c>
      <c r="R26" s="66">
        <v>19.3</v>
      </c>
      <c r="S26" s="66">
        <v>14.8</v>
      </c>
      <c r="T26" s="159">
        <v>14.3</v>
      </c>
      <c r="U26" s="66">
        <v>14.2</v>
      </c>
      <c r="V26" s="66">
        <v>12.8</v>
      </c>
      <c r="W26" s="66">
        <v>12.8</v>
      </c>
      <c r="X26" s="66">
        <v>18.7</v>
      </c>
      <c r="Y26" s="66">
        <v>13.9</v>
      </c>
      <c r="Z26" s="159">
        <v>13.6</v>
      </c>
    </row>
    <row r="27" spans="1:26" x14ac:dyDescent="0.25">
      <c r="A27" s="404"/>
      <c r="B27" s="95" t="s">
        <v>188</v>
      </c>
      <c r="C27" s="230">
        <v>24.8</v>
      </c>
      <c r="D27" s="83">
        <v>20.7</v>
      </c>
      <c r="E27" s="83">
        <v>23.2</v>
      </c>
      <c r="F27" s="83">
        <v>30.1</v>
      </c>
      <c r="G27" s="83">
        <v>23.9</v>
      </c>
      <c r="H27" s="160">
        <v>22.8</v>
      </c>
      <c r="I27" s="83">
        <v>33.299999999999997</v>
      </c>
      <c r="J27" s="83">
        <v>26.8</v>
      </c>
      <c r="K27" s="83">
        <v>28.3</v>
      </c>
      <c r="L27" s="83">
        <v>35.6</v>
      </c>
      <c r="M27" s="83">
        <v>30.7</v>
      </c>
      <c r="N27" s="83">
        <v>28.4</v>
      </c>
      <c r="O27" s="230">
        <v>34.4</v>
      </c>
      <c r="P27" s="83">
        <v>29.1</v>
      </c>
      <c r="Q27" s="83">
        <v>30</v>
      </c>
      <c r="R27" s="83">
        <v>37</v>
      </c>
      <c r="S27" s="83">
        <v>32.1</v>
      </c>
      <c r="T27" s="160">
        <v>30.5</v>
      </c>
      <c r="U27" s="83">
        <v>31.9</v>
      </c>
      <c r="V27" s="83">
        <v>27.9</v>
      </c>
      <c r="W27" s="83">
        <v>28.7</v>
      </c>
      <c r="X27" s="83">
        <v>35.9</v>
      </c>
      <c r="Y27" s="83">
        <v>30.4</v>
      </c>
      <c r="Z27" s="160">
        <v>29.3</v>
      </c>
    </row>
    <row r="28" spans="1:26" x14ac:dyDescent="0.25">
      <c r="A28" s="404" t="s">
        <v>89</v>
      </c>
      <c r="B28" s="95" t="s">
        <v>169</v>
      </c>
      <c r="C28" s="230">
        <v>60.3</v>
      </c>
      <c r="D28" s="83">
        <v>65.599999999999994</v>
      </c>
      <c r="E28" s="83">
        <v>60.2</v>
      </c>
      <c r="F28" s="83">
        <v>60.8</v>
      </c>
      <c r="G28" s="83">
        <v>61.5</v>
      </c>
      <c r="H28" s="160">
        <v>63.5</v>
      </c>
      <c r="I28" s="83">
        <v>49.5</v>
      </c>
      <c r="J28" s="83">
        <v>55</v>
      </c>
      <c r="K28" s="83">
        <v>52.1</v>
      </c>
      <c r="L28" s="83">
        <v>50.8</v>
      </c>
      <c r="M28" s="83">
        <v>51.3</v>
      </c>
      <c r="N28" s="83">
        <v>53.8</v>
      </c>
      <c r="O28" s="230">
        <v>46.7</v>
      </c>
      <c r="P28" s="83">
        <v>52</v>
      </c>
      <c r="Q28" s="83">
        <v>51.1</v>
      </c>
      <c r="R28" s="83">
        <v>53.9</v>
      </c>
      <c r="S28" s="83">
        <v>49.1</v>
      </c>
      <c r="T28" s="160">
        <v>51.9</v>
      </c>
      <c r="U28" s="83">
        <v>48.7</v>
      </c>
      <c r="V28" s="83">
        <v>54.3</v>
      </c>
      <c r="W28" s="83">
        <v>53.5</v>
      </c>
      <c r="X28" s="83">
        <v>54.1</v>
      </c>
      <c r="Y28" s="83">
        <v>51.2</v>
      </c>
      <c r="Z28" s="160">
        <v>54</v>
      </c>
    </row>
    <row r="29" spans="1:26" x14ac:dyDescent="0.25">
      <c r="A29" s="404"/>
      <c r="B29" s="95" t="s">
        <v>170</v>
      </c>
      <c r="C29" s="230">
        <v>20.2</v>
      </c>
      <c r="D29" s="83">
        <v>17.3</v>
      </c>
      <c r="E29" s="83">
        <v>18</v>
      </c>
      <c r="F29" s="83">
        <v>17.5</v>
      </c>
      <c r="G29" s="83">
        <v>19.2</v>
      </c>
      <c r="H29" s="160">
        <v>17.5</v>
      </c>
      <c r="I29" s="83">
        <v>24.3</v>
      </c>
      <c r="J29" s="83">
        <v>21.7</v>
      </c>
      <c r="K29" s="83">
        <v>22.7</v>
      </c>
      <c r="L29" s="83">
        <v>22.1</v>
      </c>
      <c r="M29" s="83">
        <v>23.3</v>
      </c>
      <c r="N29" s="83">
        <v>22</v>
      </c>
      <c r="O29" s="230">
        <v>23.3</v>
      </c>
      <c r="P29" s="83">
        <v>22.1</v>
      </c>
      <c r="Q29" s="83">
        <v>23.2</v>
      </c>
      <c r="R29" s="83">
        <v>22.2</v>
      </c>
      <c r="S29" s="83">
        <v>22.9</v>
      </c>
      <c r="T29" s="160">
        <v>22.4</v>
      </c>
      <c r="U29" s="83">
        <v>22.6</v>
      </c>
      <c r="V29" s="83">
        <v>20.7</v>
      </c>
      <c r="W29" s="83">
        <v>21.9</v>
      </c>
      <c r="X29" s="83">
        <v>21.1</v>
      </c>
      <c r="Y29" s="83">
        <v>21.9</v>
      </c>
      <c r="Z29" s="160">
        <v>21.1</v>
      </c>
    </row>
    <row r="30" spans="1:26" x14ac:dyDescent="0.25">
      <c r="A30" s="404"/>
      <c r="B30" s="95" t="s">
        <v>171</v>
      </c>
      <c r="C30" s="230">
        <v>19.5</v>
      </c>
      <c r="D30" s="83">
        <v>17.100000000000001</v>
      </c>
      <c r="E30" s="83">
        <v>21.8</v>
      </c>
      <c r="F30" s="83">
        <v>21.7</v>
      </c>
      <c r="G30" s="83">
        <v>19.3</v>
      </c>
      <c r="H30" s="160">
        <v>19</v>
      </c>
      <c r="I30" s="83">
        <v>26.2</v>
      </c>
      <c r="J30" s="83">
        <v>23.4</v>
      </c>
      <c r="K30" s="83">
        <v>25.2</v>
      </c>
      <c r="L30" s="83">
        <v>27.2</v>
      </c>
      <c r="M30" s="83">
        <v>25.4</v>
      </c>
      <c r="N30" s="83">
        <v>24.2</v>
      </c>
      <c r="O30" s="230">
        <v>29.9</v>
      </c>
      <c r="P30" s="83">
        <v>25.8</v>
      </c>
      <c r="Q30" s="83">
        <v>25.7</v>
      </c>
      <c r="R30" s="83">
        <v>23.8</v>
      </c>
      <c r="S30" s="83">
        <v>28</v>
      </c>
      <c r="T30" s="160">
        <v>25.6</v>
      </c>
      <c r="U30" s="83">
        <v>28.7</v>
      </c>
      <c r="V30" s="83">
        <v>25</v>
      </c>
      <c r="W30" s="83">
        <v>24.5</v>
      </c>
      <c r="X30" s="83">
        <v>24.8</v>
      </c>
      <c r="Y30" s="83">
        <v>26.9</v>
      </c>
      <c r="Z30" s="160">
        <v>24.8</v>
      </c>
    </row>
    <row r="31" spans="1:26" x14ac:dyDescent="0.25">
      <c r="A31" s="404"/>
      <c r="B31" s="95" t="s">
        <v>188</v>
      </c>
      <c r="C31" s="230">
        <v>39.700000000000003</v>
      </c>
      <c r="D31" s="83">
        <v>34.4</v>
      </c>
      <c r="E31" s="83">
        <v>39.799999999999997</v>
      </c>
      <c r="F31" s="83">
        <v>39.200000000000003</v>
      </c>
      <c r="G31" s="83">
        <v>38.5</v>
      </c>
      <c r="H31" s="160">
        <v>36.5</v>
      </c>
      <c r="I31" s="83">
        <v>50.5</v>
      </c>
      <c r="J31" s="83">
        <v>45</v>
      </c>
      <c r="K31" s="83">
        <v>47.9</v>
      </c>
      <c r="L31" s="83">
        <v>49.2</v>
      </c>
      <c r="M31" s="83">
        <v>48.7</v>
      </c>
      <c r="N31" s="83">
        <v>46.2</v>
      </c>
      <c r="O31" s="230">
        <v>53.3</v>
      </c>
      <c r="P31" s="83">
        <v>48</v>
      </c>
      <c r="Q31" s="83">
        <v>48.9</v>
      </c>
      <c r="R31" s="83">
        <v>46.1</v>
      </c>
      <c r="S31" s="83">
        <v>50.9</v>
      </c>
      <c r="T31" s="160">
        <v>48.1</v>
      </c>
      <c r="U31" s="83">
        <v>51.3</v>
      </c>
      <c r="V31" s="83">
        <v>45.7</v>
      </c>
      <c r="W31" s="83">
        <v>46.5</v>
      </c>
      <c r="X31" s="83">
        <v>45.9</v>
      </c>
      <c r="Y31" s="83">
        <v>48.8</v>
      </c>
      <c r="Z31" s="160">
        <v>46</v>
      </c>
    </row>
    <row r="32" spans="1:26" x14ac:dyDescent="0.25">
      <c r="A32" s="404" t="s">
        <v>73</v>
      </c>
      <c r="B32" s="95" t="s">
        <v>169</v>
      </c>
      <c r="C32" s="230">
        <v>62.4</v>
      </c>
      <c r="D32" s="83">
        <v>66.5</v>
      </c>
      <c r="E32" s="83">
        <v>62.1</v>
      </c>
      <c r="F32" s="83">
        <v>64</v>
      </c>
      <c r="G32" s="83">
        <v>63.1</v>
      </c>
      <c r="H32" s="160">
        <v>65</v>
      </c>
      <c r="I32" s="83">
        <v>48.7</v>
      </c>
      <c r="J32" s="83">
        <v>56.4</v>
      </c>
      <c r="K32" s="83">
        <v>54.8</v>
      </c>
      <c r="L32" s="83">
        <v>53.2</v>
      </c>
      <c r="M32" s="83">
        <v>50.8</v>
      </c>
      <c r="N32" s="83">
        <v>55.8</v>
      </c>
      <c r="O32" s="230">
        <v>47.8</v>
      </c>
      <c r="P32" s="83">
        <v>54.8</v>
      </c>
      <c r="Q32" s="83">
        <v>54.9</v>
      </c>
      <c r="R32" s="83">
        <v>54.9</v>
      </c>
      <c r="S32" s="83">
        <v>50.1</v>
      </c>
      <c r="T32" s="160">
        <v>54.8</v>
      </c>
      <c r="U32" s="83">
        <v>50.1</v>
      </c>
      <c r="V32" s="83">
        <v>57</v>
      </c>
      <c r="W32" s="83">
        <v>56.3</v>
      </c>
      <c r="X32" s="83">
        <v>56</v>
      </c>
      <c r="Y32" s="83">
        <v>52.4</v>
      </c>
      <c r="Z32" s="160">
        <v>56.8</v>
      </c>
    </row>
    <row r="33" spans="1:26" x14ac:dyDescent="0.25">
      <c r="A33" s="404"/>
      <c r="B33" s="95" t="s">
        <v>170</v>
      </c>
      <c r="C33" s="230">
        <v>21.2</v>
      </c>
      <c r="D33" s="83">
        <v>17.600000000000001</v>
      </c>
      <c r="E33" s="83">
        <v>19.399999999999999</v>
      </c>
      <c r="F33" s="83">
        <v>13.3</v>
      </c>
      <c r="G33" s="83">
        <v>20.399999999999999</v>
      </c>
      <c r="H33" s="160">
        <v>17.899999999999999</v>
      </c>
      <c r="I33" s="83">
        <v>26.6</v>
      </c>
      <c r="J33" s="83">
        <v>22</v>
      </c>
      <c r="K33" s="83">
        <v>20.7</v>
      </c>
      <c r="L33" s="83">
        <v>21.4</v>
      </c>
      <c r="M33" s="83">
        <v>25.1</v>
      </c>
      <c r="N33" s="83">
        <v>21.6</v>
      </c>
      <c r="O33" s="230">
        <v>25.9</v>
      </c>
      <c r="P33" s="83">
        <v>22.2</v>
      </c>
      <c r="Q33" s="83">
        <v>21.1</v>
      </c>
      <c r="R33" s="83">
        <v>19.5</v>
      </c>
      <c r="S33" s="83">
        <v>24.5</v>
      </c>
      <c r="T33" s="160">
        <v>21.7</v>
      </c>
      <c r="U33" s="83">
        <v>25.1</v>
      </c>
      <c r="V33" s="83">
        <v>21.2</v>
      </c>
      <c r="W33" s="83">
        <v>21.1</v>
      </c>
      <c r="X33" s="83">
        <v>19.5</v>
      </c>
      <c r="Y33" s="83">
        <v>23.7</v>
      </c>
      <c r="Z33" s="160">
        <v>21</v>
      </c>
    </row>
    <row r="34" spans="1:26" x14ac:dyDescent="0.25">
      <c r="A34" s="404"/>
      <c r="B34" s="95" t="s">
        <v>171</v>
      </c>
      <c r="C34" s="230">
        <v>16.399999999999999</v>
      </c>
      <c r="D34" s="83">
        <v>15.8</v>
      </c>
      <c r="E34" s="83">
        <v>18.5</v>
      </c>
      <c r="F34" s="83">
        <v>22.7</v>
      </c>
      <c r="G34" s="83">
        <v>16.600000000000001</v>
      </c>
      <c r="H34" s="160">
        <v>17.100000000000001</v>
      </c>
      <c r="I34" s="83">
        <v>24.8</v>
      </c>
      <c r="J34" s="83">
        <v>21.6</v>
      </c>
      <c r="K34" s="83">
        <v>24.6</v>
      </c>
      <c r="L34" s="83">
        <v>25.4</v>
      </c>
      <c r="M34" s="83">
        <v>24.1</v>
      </c>
      <c r="N34" s="83">
        <v>22.7</v>
      </c>
      <c r="O34" s="230">
        <v>26.3</v>
      </c>
      <c r="P34" s="83">
        <v>23</v>
      </c>
      <c r="Q34" s="83">
        <v>24.1</v>
      </c>
      <c r="R34" s="83">
        <v>25.6</v>
      </c>
      <c r="S34" s="83">
        <v>25.4</v>
      </c>
      <c r="T34" s="160">
        <v>23.5</v>
      </c>
      <c r="U34" s="83">
        <v>24.8</v>
      </c>
      <c r="V34" s="83">
        <v>21.8</v>
      </c>
      <c r="W34" s="83">
        <v>22.6</v>
      </c>
      <c r="X34" s="83">
        <v>24.4</v>
      </c>
      <c r="Y34" s="83">
        <v>23.9</v>
      </c>
      <c r="Z34" s="160">
        <v>22.2</v>
      </c>
    </row>
    <row r="35" spans="1:26" x14ac:dyDescent="0.25">
      <c r="A35" s="404"/>
      <c r="B35" s="95" t="s">
        <v>188</v>
      </c>
      <c r="C35" s="230">
        <v>37.6</v>
      </c>
      <c r="D35" s="83">
        <v>33.5</v>
      </c>
      <c r="E35" s="83">
        <v>37.9</v>
      </c>
      <c r="F35" s="83">
        <v>36</v>
      </c>
      <c r="G35" s="83">
        <v>36.9</v>
      </c>
      <c r="H35" s="160">
        <v>35</v>
      </c>
      <c r="I35" s="83">
        <v>51.3</v>
      </c>
      <c r="J35" s="83">
        <v>43.6</v>
      </c>
      <c r="K35" s="83">
        <v>45.2</v>
      </c>
      <c r="L35" s="83">
        <v>46.8</v>
      </c>
      <c r="M35" s="83">
        <v>49.2</v>
      </c>
      <c r="N35" s="83">
        <v>44.2</v>
      </c>
      <c r="O35" s="230">
        <v>52.2</v>
      </c>
      <c r="P35" s="83">
        <v>45.2</v>
      </c>
      <c r="Q35" s="83">
        <v>45.1</v>
      </c>
      <c r="R35" s="83">
        <v>45.1</v>
      </c>
      <c r="S35" s="83">
        <v>49.9</v>
      </c>
      <c r="T35" s="160">
        <v>45.2</v>
      </c>
      <c r="U35" s="83">
        <v>49.9</v>
      </c>
      <c r="V35" s="83">
        <v>43</v>
      </c>
      <c r="W35" s="83">
        <v>43.7</v>
      </c>
      <c r="X35" s="83">
        <v>44</v>
      </c>
      <c r="Y35" s="83">
        <v>47.6</v>
      </c>
      <c r="Z35" s="160">
        <v>43.2</v>
      </c>
    </row>
    <row r="36" spans="1:26" x14ac:dyDescent="0.25">
      <c r="A36" s="404" t="s">
        <v>148</v>
      </c>
      <c r="B36" s="95" t="s">
        <v>169</v>
      </c>
      <c r="C36" s="230">
        <v>65.099999999999994</v>
      </c>
      <c r="D36" s="83">
        <v>69.3</v>
      </c>
      <c r="E36" s="83">
        <v>67</v>
      </c>
      <c r="F36" s="83">
        <v>65.7</v>
      </c>
      <c r="G36" s="83">
        <v>66.2</v>
      </c>
      <c r="H36" s="160">
        <v>68.400000000000006</v>
      </c>
      <c r="I36" s="83">
        <v>57.2</v>
      </c>
      <c r="J36" s="83">
        <v>61.1</v>
      </c>
      <c r="K36" s="83">
        <v>60.6</v>
      </c>
      <c r="L36" s="83">
        <v>61</v>
      </c>
      <c r="M36" s="83">
        <v>58.6</v>
      </c>
      <c r="N36" s="83">
        <v>61</v>
      </c>
      <c r="O36" s="230">
        <v>57.5</v>
      </c>
      <c r="P36" s="83">
        <v>59.4</v>
      </c>
      <c r="Q36" s="83">
        <v>60.3</v>
      </c>
      <c r="R36" s="83">
        <v>60.1</v>
      </c>
      <c r="S36" s="83">
        <v>58.3</v>
      </c>
      <c r="T36" s="160">
        <v>59.7</v>
      </c>
      <c r="U36" s="83">
        <v>59.2</v>
      </c>
      <c r="V36" s="83">
        <v>60.8</v>
      </c>
      <c r="W36" s="83">
        <v>61.9</v>
      </c>
      <c r="X36" s="83">
        <v>62</v>
      </c>
      <c r="Y36" s="83">
        <v>60</v>
      </c>
      <c r="Z36" s="160">
        <v>61.2</v>
      </c>
    </row>
    <row r="37" spans="1:26" x14ac:dyDescent="0.25">
      <c r="A37" s="404"/>
      <c r="B37" s="95" t="s">
        <v>170</v>
      </c>
      <c r="C37" s="230">
        <v>17.3</v>
      </c>
      <c r="D37" s="83">
        <v>16.399999999999999</v>
      </c>
      <c r="E37" s="83">
        <v>16.399999999999999</v>
      </c>
      <c r="F37" s="83">
        <v>20</v>
      </c>
      <c r="G37" s="83">
        <v>17.100000000000001</v>
      </c>
      <c r="H37" s="160">
        <v>16.7</v>
      </c>
      <c r="I37" s="83">
        <v>22.2</v>
      </c>
      <c r="J37" s="83">
        <v>20.6</v>
      </c>
      <c r="K37" s="83">
        <v>18.600000000000001</v>
      </c>
      <c r="L37" s="83">
        <v>18.3</v>
      </c>
      <c r="M37" s="83">
        <v>21.3</v>
      </c>
      <c r="N37" s="83">
        <v>19.899999999999999</v>
      </c>
      <c r="O37" s="230">
        <v>20.9</v>
      </c>
      <c r="P37" s="83">
        <v>20.3</v>
      </c>
      <c r="Q37" s="83">
        <v>18.5</v>
      </c>
      <c r="R37" s="83">
        <v>18.8</v>
      </c>
      <c r="S37" s="83">
        <v>20.399999999999999</v>
      </c>
      <c r="T37" s="160">
        <v>19.7</v>
      </c>
      <c r="U37" s="83">
        <v>19.7</v>
      </c>
      <c r="V37" s="83">
        <v>18.899999999999999</v>
      </c>
      <c r="W37" s="83">
        <v>19</v>
      </c>
      <c r="X37" s="83">
        <v>15.9</v>
      </c>
      <c r="Y37" s="83">
        <v>19.3</v>
      </c>
      <c r="Z37" s="160">
        <v>18.7</v>
      </c>
    </row>
    <row r="38" spans="1:26" x14ac:dyDescent="0.25">
      <c r="A38" s="404"/>
      <c r="B38" s="95" t="s">
        <v>171</v>
      </c>
      <c r="C38" s="230">
        <v>17.600000000000001</v>
      </c>
      <c r="D38" s="83">
        <v>14.3</v>
      </c>
      <c r="E38" s="83">
        <v>16.7</v>
      </c>
      <c r="F38" s="83">
        <v>14.3</v>
      </c>
      <c r="G38" s="83">
        <v>16.7</v>
      </c>
      <c r="H38" s="160">
        <v>14.9</v>
      </c>
      <c r="I38" s="83">
        <v>20.6</v>
      </c>
      <c r="J38" s="83">
        <v>18.3</v>
      </c>
      <c r="K38" s="83">
        <v>20.8</v>
      </c>
      <c r="L38" s="83">
        <v>20.7</v>
      </c>
      <c r="M38" s="83">
        <v>20.100000000000001</v>
      </c>
      <c r="N38" s="83">
        <v>19.100000000000001</v>
      </c>
      <c r="O38" s="230">
        <v>21.6</v>
      </c>
      <c r="P38" s="83">
        <v>20.3</v>
      </c>
      <c r="Q38" s="83">
        <v>21.1</v>
      </c>
      <c r="R38" s="83">
        <v>21.1</v>
      </c>
      <c r="S38" s="83">
        <v>21.2</v>
      </c>
      <c r="T38" s="160">
        <v>20.6</v>
      </c>
      <c r="U38" s="83">
        <v>21.1</v>
      </c>
      <c r="V38" s="83">
        <v>20.3</v>
      </c>
      <c r="W38" s="83">
        <v>19</v>
      </c>
      <c r="X38" s="83">
        <v>22.1</v>
      </c>
      <c r="Y38" s="83">
        <v>20.7</v>
      </c>
      <c r="Z38" s="160">
        <v>20.100000000000001</v>
      </c>
    </row>
    <row r="39" spans="1:26" x14ac:dyDescent="0.25">
      <c r="A39" s="404"/>
      <c r="B39" s="95" t="s">
        <v>188</v>
      </c>
      <c r="C39" s="230">
        <v>34.9</v>
      </c>
      <c r="D39" s="83">
        <v>30.7</v>
      </c>
      <c r="E39" s="83">
        <v>33</v>
      </c>
      <c r="F39" s="83">
        <v>34.299999999999997</v>
      </c>
      <c r="G39" s="83">
        <v>33.799999999999997</v>
      </c>
      <c r="H39" s="160">
        <v>31.6</v>
      </c>
      <c r="I39" s="83">
        <v>42.8</v>
      </c>
      <c r="J39" s="83">
        <v>38.9</v>
      </c>
      <c r="K39" s="83">
        <v>39.4</v>
      </c>
      <c r="L39" s="83">
        <v>39</v>
      </c>
      <c r="M39" s="83">
        <v>41.4</v>
      </c>
      <c r="N39" s="83">
        <v>39</v>
      </c>
      <c r="O39" s="230">
        <v>42.5</v>
      </c>
      <c r="P39" s="83">
        <v>40.6</v>
      </c>
      <c r="Q39" s="83">
        <v>39.700000000000003</v>
      </c>
      <c r="R39" s="83">
        <v>39.9</v>
      </c>
      <c r="S39" s="83">
        <v>41.7</v>
      </c>
      <c r="T39" s="160">
        <v>40.299999999999997</v>
      </c>
      <c r="U39" s="83">
        <v>40.799999999999997</v>
      </c>
      <c r="V39" s="83">
        <v>39.200000000000003</v>
      </c>
      <c r="W39" s="83">
        <v>38.1</v>
      </c>
      <c r="X39" s="83">
        <v>38</v>
      </c>
      <c r="Y39" s="83">
        <v>40</v>
      </c>
      <c r="Z39" s="160">
        <v>38.799999999999997</v>
      </c>
    </row>
    <row r="40" spans="1:26" x14ac:dyDescent="0.25">
      <c r="A40" s="224" t="s">
        <v>176</v>
      </c>
      <c r="B40" s="225"/>
      <c r="C40" s="231"/>
      <c r="D40" s="67"/>
      <c r="E40" s="67"/>
      <c r="F40" s="67"/>
      <c r="G40" s="67"/>
      <c r="H40" s="161"/>
      <c r="I40" s="67"/>
      <c r="J40" s="67"/>
      <c r="K40" s="67"/>
      <c r="L40" s="67"/>
      <c r="M40" s="67"/>
      <c r="N40" s="67"/>
      <c r="O40" s="231"/>
      <c r="P40" s="67"/>
      <c r="Q40" s="67"/>
      <c r="R40" s="67"/>
      <c r="S40" s="67"/>
      <c r="T40" s="161"/>
      <c r="U40" s="67"/>
      <c r="V40" s="67"/>
      <c r="W40" s="67"/>
      <c r="X40" s="67"/>
      <c r="Y40" s="67"/>
      <c r="Z40" s="161"/>
    </row>
    <row r="41" spans="1:26" x14ac:dyDescent="0.25">
      <c r="A41" s="404" t="s">
        <v>177</v>
      </c>
      <c r="B41" s="3" t="s">
        <v>169</v>
      </c>
      <c r="C41" s="229">
        <v>13.8</v>
      </c>
      <c r="D41" s="66">
        <v>21.7</v>
      </c>
      <c r="E41" s="66">
        <v>34.1</v>
      </c>
      <c r="F41" s="66">
        <v>39.9</v>
      </c>
      <c r="G41" s="66">
        <v>23.2</v>
      </c>
      <c r="H41" s="159">
        <v>31</v>
      </c>
      <c r="I41" s="66">
        <v>12.1</v>
      </c>
      <c r="J41" s="66">
        <v>17.899999999999999</v>
      </c>
      <c r="K41" s="66">
        <v>29.3</v>
      </c>
      <c r="L41" s="66">
        <v>32.5</v>
      </c>
      <c r="M41" s="66">
        <v>19.399999999999999</v>
      </c>
      <c r="N41" s="66">
        <v>25.4</v>
      </c>
      <c r="O41" s="229">
        <v>10.199999999999999</v>
      </c>
      <c r="P41" s="66">
        <v>16.399999999999999</v>
      </c>
      <c r="Q41" s="66">
        <v>27.4</v>
      </c>
      <c r="R41" s="66">
        <v>30.7</v>
      </c>
      <c r="S41" s="66">
        <v>17.100000000000001</v>
      </c>
      <c r="T41" s="159">
        <v>22.9</v>
      </c>
      <c r="U41" s="66">
        <v>10.7</v>
      </c>
      <c r="V41" s="66">
        <v>16.399999999999999</v>
      </c>
      <c r="W41" s="66">
        <v>27.9</v>
      </c>
      <c r="X41" s="66">
        <v>31</v>
      </c>
      <c r="Y41" s="66">
        <v>17.5</v>
      </c>
      <c r="Z41" s="159">
        <v>23</v>
      </c>
    </row>
    <row r="42" spans="1:26" x14ac:dyDescent="0.25">
      <c r="A42" s="404"/>
      <c r="B42" s="3" t="s">
        <v>170</v>
      </c>
      <c r="C42" s="229">
        <v>10.8</v>
      </c>
      <c r="D42" s="66">
        <v>17.7</v>
      </c>
      <c r="E42" s="66">
        <v>24</v>
      </c>
      <c r="F42" s="66">
        <v>23.1</v>
      </c>
      <c r="G42" s="66">
        <v>16.7</v>
      </c>
      <c r="H42" s="159">
        <v>21.6</v>
      </c>
      <c r="I42" s="66">
        <v>10.4</v>
      </c>
      <c r="J42" s="66">
        <v>15.8</v>
      </c>
      <c r="K42" s="66">
        <v>23.7</v>
      </c>
      <c r="L42" s="66">
        <v>24.2</v>
      </c>
      <c r="M42" s="66">
        <v>16.100000000000001</v>
      </c>
      <c r="N42" s="66">
        <v>20.6</v>
      </c>
      <c r="O42" s="229">
        <v>8.6999999999999993</v>
      </c>
      <c r="P42" s="66">
        <v>13.8</v>
      </c>
      <c r="Q42" s="66">
        <v>22.1</v>
      </c>
      <c r="R42" s="66">
        <v>23.2</v>
      </c>
      <c r="S42" s="66">
        <v>14</v>
      </c>
      <c r="T42" s="159">
        <v>18.399999999999999</v>
      </c>
      <c r="U42" s="66">
        <v>8.6</v>
      </c>
      <c r="V42" s="66">
        <v>13.8</v>
      </c>
      <c r="W42" s="66">
        <v>21.4</v>
      </c>
      <c r="X42" s="66">
        <v>22.8</v>
      </c>
      <c r="Y42" s="66">
        <v>13.9</v>
      </c>
      <c r="Z42" s="159">
        <v>18.100000000000001</v>
      </c>
    </row>
    <row r="43" spans="1:26" x14ac:dyDescent="0.25">
      <c r="A43" s="404"/>
      <c r="B43" s="3" t="s">
        <v>171</v>
      </c>
      <c r="C43" s="229">
        <v>75.400000000000006</v>
      </c>
      <c r="D43" s="66">
        <v>60.6</v>
      </c>
      <c r="E43" s="66">
        <v>41.9</v>
      </c>
      <c r="F43" s="66">
        <v>37</v>
      </c>
      <c r="G43" s="66">
        <v>60.1</v>
      </c>
      <c r="H43" s="159">
        <v>47.4</v>
      </c>
      <c r="I43" s="66">
        <v>77.5</v>
      </c>
      <c r="J43" s="66">
        <v>66.3</v>
      </c>
      <c r="K43" s="66">
        <v>47</v>
      </c>
      <c r="L43" s="66">
        <v>43.3</v>
      </c>
      <c r="M43" s="66">
        <v>64.5</v>
      </c>
      <c r="N43" s="66">
        <v>54</v>
      </c>
      <c r="O43" s="229">
        <v>81.099999999999994</v>
      </c>
      <c r="P43" s="66">
        <v>69.8</v>
      </c>
      <c r="Q43" s="66">
        <v>50.5</v>
      </c>
      <c r="R43" s="66">
        <v>46.1</v>
      </c>
      <c r="S43" s="66">
        <v>68.8</v>
      </c>
      <c r="T43" s="159">
        <v>58.7</v>
      </c>
      <c r="U43" s="66">
        <v>80.8</v>
      </c>
      <c r="V43" s="66">
        <v>69.8</v>
      </c>
      <c r="W43" s="66">
        <v>50.6</v>
      </c>
      <c r="X43" s="66">
        <v>46.2</v>
      </c>
      <c r="Y43" s="66">
        <v>68.599999999999994</v>
      </c>
      <c r="Z43" s="159">
        <v>58.9</v>
      </c>
    </row>
    <row r="44" spans="1:26" x14ac:dyDescent="0.25">
      <c r="A44" s="404"/>
      <c r="B44" s="95" t="s">
        <v>188</v>
      </c>
      <c r="C44" s="230">
        <v>86.2</v>
      </c>
      <c r="D44" s="83">
        <v>78.3</v>
      </c>
      <c r="E44" s="83">
        <v>65.900000000000006</v>
      </c>
      <c r="F44" s="83">
        <v>60.1</v>
      </c>
      <c r="G44" s="83">
        <v>76.8</v>
      </c>
      <c r="H44" s="160">
        <v>69</v>
      </c>
      <c r="I44" s="83">
        <v>87.9</v>
      </c>
      <c r="J44" s="83">
        <v>82.1</v>
      </c>
      <c r="K44" s="83">
        <v>70.7</v>
      </c>
      <c r="L44" s="83">
        <v>67.5</v>
      </c>
      <c r="M44" s="83">
        <v>80.599999999999994</v>
      </c>
      <c r="N44" s="83">
        <v>74.599999999999994</v>
      </c>
      <c r="O44" s="230">
        <v>89.8</v>
      </c>
      <c r="P44" s="83">
        <v>83.6</v>
      </c>
      <c r="Q44" s="83">
        <v>72.599999999999994</v>
      </c>
      <c r="R44" s="83">
        <v>69.3</v>
      </c>
      <c r="S44" s="83">
        <v>82.9</v>
      </c>
      <c r="T44" s="160">
        <v>77.099999999999994</v>
      </c>
      <c r="U44" s="83">
        <v>89.3</v>
      </c>
      <c r="V44" s="83">
        <v>83.6</v>
      </c>
      <c r="W44" s="83">
        <v>72.099999999999994</v>
      </c>
      <c r="X44" s="83">
        <v>69</v>
      </c>
      <c r="Y44" s="83">
        <v>82.5</v>
      </c>
      <c r="Z44" s="160">
        <v>77</v>
      </c>
    </row>
    <row r="45" spans="1:26" x14ac:dyDescent="0.25">
      <c r="A45" s="404" t="s">
        <v>178</v>
      </c>
      <c r="B45" s="95" t="s">
        <v>169</v>
      </c>
      <c r="C45" s="230">
        <v>35.1</v>
      </c>
      <c r="D45" s="83">
        <v>49.7</v>
      </c>
      <c r="E45" s="83">
        <v>65.2</v>
      </c>
      <c r="F45" s="83">
        <v>66.099999999999994</v>
      </c>
      <c r="G45" s="83">
        <v>48.4</v>
      </c>
      <c r="H45" s="160">
        <v>60.5</v>
      </c>
      <c r="I45" s="83">
        <v>27.2</v>
      </c>
      <c r="J45" s="83">
        <v>39</v>
      </c>
      <c r="K45" s="83">
        <v>55.4</v>
      </c>
      <c r="L45" s="83">
        <v>58.6</v>
      </c>
      <c r="M45" s="83">
        <v>39.4</v>
      </c>
      <c r="N45" s="83">
        <v>49.8</v>
      </c>
      <c r="O45" s="230">
        <v>22.8</v>
      </c>
      <c r="P45" s="83">
        <v>35.299999999999997</v>
      </c>
      <c r="Q45" s="83">
        <v>51.7</v>
      </c>
      <c r="R45" s="83">
        <v>55.8</v>
      </c>
      <c r="S45" s="83">
        <v>36</v>
      </c>
      <c r="T45" s="160">
        <v>45.9</v>
      </c>
      <c r="U45" s="83">
        <v>23.3</v>
      </c>
      <c r="V45" s="83">
        <v>35.700000000000003</v>
      </c>
      <c r="W45" s="83">
        <v>51.2</v>
      </c>
      <c r="X45" s="83">
        <v>55.9</v>
      </c>
      <c r="Y45" s="83">
        <v>36.4</v>
      </c>
      <c r="Z45" s="160">
        <v>46</v>
      </c>
    </row>
    <row r="46" spans="1:26" x14ac:dyDescent="0.25">
      <c r="A46" s="404"/>
      <c r="B46" s="95" t="s">
        <v>170</v>
      </c>
      <c r="C46" s="230">
        <v>39.1</v>
      </c>
      <c r="D46" s="83">
        <v>29</v>
      </c>
      <c r="E46" s="83">
        <v>22.1</v>
      </c>
      <c r="F46" s="83">
        <v>20.2</v>
      </c>
      <c r="G46" s="83">
        <v>31.1</v>
      </c>
      <c r="H46" s="160">
        <v>23.9</v>
      </c>
      <c r="I46" s="83">
        <v>39.4</v>
      </c>
      <c r="J46" s="83">
        <v>31.5</v>
      </c>
      <c r="K46" s="83">
        <v>26</v>
      </c>
      <c r="L46" s="83">
        <v>23.8</v>
      </c>
      <c r="M46" s="83">
        <v>33.1</v>
      </c>
      <c r="N46" s="83">
        <v>27.6</v>
      </c>
      <c r="O46" s="230">
        <v>39.1</v>
      </c>
      <c r="P46" s="83">
        <v>31.6</v>
      </c>
      <c r="Q46" s="83">
        <v>26.3</v>
      </c>
      <c r="R46" s="83">
        <v>24.4</v>
      </c>
      <c r="S46" s="83">
        <v>32.799999999999997</v>
      </c>
      <c r="T46" s="160">
        <v>28.1</v>
      </c>
      <c r="U46" s="83">
        <v>39.6</v>
      </c>
      <c r="V46" s="83">
        <v>32.200000000000003</v>
      </c>
      <c r="W46" s="83">
        <v>27.1</v>
      </c>
      <c r="X46" s="83">
        <v>24.1</v>
      </c>
      <c r="Y46" s="83">
        <v>33.200000000000003</v>
      </c>
      <c r="Z46" s="160">
        <v>28.5</v>
      </c>
    </row>
    <row r="47" spans="1:26" x14ac:dyDescent="0.25">
      <c r="A47" s="404"/>
      <c r="B47" s="95" t="s">
        <v>171</v>
      </c>
      <c r="C47" s="230">
        <v>25.8</v>
      </c>
      <c r="D47" s="83">
        <v>21.3</v>
      </c>
      <c r="E47" s="83">
        <v>12.7</v>
      </c>
      <c r="F47" s="83">
        <v>13.6</v>
      </c>
      <c r="G47" s="83">
        <v>20.5</v>
      </c>
      <c r="H47" s="160">
        <v>15.6</v>
      </c>
      <c r="I47" s="83">
        <v>33.4</v>
      </c>
      <c r="J47" s="83">
        <v>29.4</v>
      </c>
      <c r="K47" s="83">
        <v>18.600000000000001</v>
      </c>
      <c r="L47" s="83">
        <v>17.600000000000001</v>
      </c>
      <c r="M47" s="83">
        <v>27.5</v>
      </c>
      <c r="N47" s="83">
        <v>22.5</v>
      </c>
      <c r="O47" s="230">
        <v>38.1</v>
      </c>
      <c r="P47" s="83">
        <v>33.1</v>
      </c>
      <c r="Q47" s="83">
        <v>22</v>
      </c>
      <c r="R47" s="83">
        <v>19.8</v>
      </c>
      <c r="S47" s="83">
        <v>31.2</v>
      </c>
      <c r="T47" s="160">
        <v>26</v>
      </c>
      <c r="U47" s="83">
        <v>37.1</v>
      </c>
      <c r="V47" s="83">
        <v>32.1</v>
      </c>
      <c r="W47" s="83">
        <v>21.7</v>
      </c>
      <c r="X47" s="83">
        <v>20</v>
      </c>
      <c r="Y47" s="83">
        <v>30.4</v>
      </c>
      <c r="Z47" s="160">
        <v>25.5</v>
      </c>
    </row>
    <row r="48" spans="1:26" x14ac:dyDescent="0.25">
      <c r="A48" s="404"/>
      <c r="B48" s="95" t="s">
        <v>188</v>
      </c>
      <c r="C48" s="230">
        <v>64.900000000000006</v>
      </c>
      <c r="D48" s="83">
        <v>50.3</v>
      </c>
      <c r="E48" s="83">
        <v>34.799999999999997</v>
      </c>
      <c r="F48" s="83">
        <v>33.9</v>
      </c>
      <c r="G48" s="83">
        <v>51.6</v>
      </c>
      <c r="H48" s="160">
        <v>39.5</v>
      </c>
      <c r="I48" s="83">
        <v>72.8</v>
      </c>
      <c r="J48" s="83">
        <v>61</v>
      </c>
      <c r="K48" s="83">
        <v>44.6</v>
      </c>
      <c r="L48" s="83">
        <v>41.4</v>
      </c>
      <c r="M48" s="83">
        <v>60.6</v>
      </c>
      <c r="N48" s="83">
        <v>50.2</v>
      </c>
      <c r="O48" s="230">
        <v>77.2</v>
      </c>
      <c r="P48" s="83">
        <v>64.7</v>
      </c>
      <c r="Q48" s="83">
        <v>48.3</v>
      </c>
      <c r="R48" s="83">
        <v>44.2</v>
      </c>
      <c r="S48" s="83">
        <v>64</v>
      </c>
      <c r="T48" s="160">
        <v>54.1</v>
      </c>
      <c r="U48" s="83">
        <v>76.7</v>
      </c>
      <c r="V48" s="83">
        <v>64.3</v>
      </c>
      <c r="W48" s="83">
        <v>48.8</v>
      </c>
      <c r="X48" s="83">
        <v>44.1</v>
      </c>
      <c r="Y48" s="83">
        <v>63.6</v>
      </c>
      <c r="Z48" s="160">
        <v>54</v>
      </c>
    </row>
    <row r="49" spans="1:26" x14ac:dyDescent="0.25">
      <c r="A49" s="404" t="s">
        <v>179</v>
      </c>
      <c r="B49" s="95" t="s">
        <v>169</v>
      </c>
      <c r="C49" s="230">
        <v>64</v>
      </c>
      <c r="D49" s="83">
        <v>69.099999999999994</v>
      </c>
      <c r="E49" s="83">
        <v>83</v>
      </c>
      <c r="F49" s="83">
        <v>85.2</v>
      </c>
      <c r="G49" s="83">
        <v>69.900000000000006</v>
      </c>
      <c r="H49" s="160">
        <v>77.400000000000006</v>
      </c>
      <c r="I49" s="83">
        <v>53.2</v>
      </c>
      <c r="J49" s="83">
        <v>59.5</v>
      </c>
      <c r="K49" s="83">
        <v>74.5</v>
      </c>
      <c r="L49" s="83">
        <v>79.8</v>
      </c>
      <c r="M49" s="83">
        <v>60</v>
      </c>
      <c r="N49" s="83">
        <v>67.599999999999994</v>
      </c>
      <c r="O49" s="230">
        <v>50.8</v>
      </c>
      <c r="P49" s="83">
        <v>56.5</v>
      </c>
      <c r="Q49" s="83">
        <v>70.2</v>
      </c>
      <c r="R49" s="83">
        <v>76.900000000000006</v>
      </c>
      <c r="S49" s="83">
        <v>57.8</v>
      </c>
      <c r="T49" s="160">
        <v>64.2</v>
      </c>
      <c r="U49" s="83">
        <v>51.9</v>
      </c>
      <c r="V49" s="83">
        <v>57.8</v>
      </c>
      <c r="W49" s="83">
        <v>70.7</v>
      </c>
      <c r="X49" s="83">
        <v>76.3</v>
      </c>
      <c r="Y49" s="83">
        <v>58.9</v>
      </c>
      <c r="Z49" s="160">
        <v>65.2</v>
      </c>
    </row>
    <row r="50" spans="1:26" x14ac:dyDescent="0.25">
      <c r="A50" s="404"/>
      <c r="B50" s="95" t="s">
        <v>170</v>
      </c>
      <c r="C50" s="230">
        <v>29.3</v>
      </c>
      <c r="D50" s="83">
        <v>22.8</v>
      </c>
      <c r="E50" s="83">
        <v>12.6</v>
      </c>
      <c r="F50" s="83">
        <v>10.6</v>
      </c>
      <c r="G50" s="83">
        <v>23.7</v>
      </c>
      <c r="H50" s="160">
        <v>16.7</v>
      </c>
      <c r="I50" s="83">
        <v>33.5</v>
      </c>
      <c r="J50" s="83">
        <v>27.6</v>
      </c>
      <c r="K50" s="83">
        <v>17.8</v>
      </c>
      <c r="L50" s="83">
        <v>12.6</v>
      </c>
      <c r="M50" s="83">
        <v>28.1</v>
      </c>
      <c r="N50" s="83">
        <v>22.1</v>
      </c>
      <c r="O50" s="230">
        <v>36.4</v>
      </c>
      <c r="P50" s="83">
        <v>29.7</v>
      </c>
      <c r="Q50" s="83">
        <v>20.3</v>
      </c>
      <c r="R50" s="83">
        <v>14.7</v>
      </c>
      <c r="S50" s="83">
        <v>30.1</v>
      </c>
      <c r="T50" s="160">
        <v>24.3</v>
      </c>
      <c r="U50" s="83">
        <v>36.299999999999997</v>
      </c>
      <c r="V50" s="83">
        <v>29.5</v>
      </c>
      <c r="W50" s="83">
        <v>20.100000000000001</v>
      </c>
      <c r="X50" s="83">
        <v>14.5</v>
      </c>
      <c r="Y50" s="83">
        <v>29.8</v>
      </c>
      <c r="Z50" s="160">
        <v>23.9</v>
      </c>
    </row>
    <row r="51" spans="1:26" x14ac:dyDescent="0.25">
      <c r="A51" s="404"/>
      <c r="B51" s="95" t="s">
        <v>171</v>
      </c>
      <c r="C51" s="230">
        <v>6.7</v>
      </c>
      <c r="D51" s="83">
        <v>8.1</v>
      </c>
      <c r="E51" s="83">
        <v>4.4000000000000004</v>
      </c>
      <c r="F51" s="83">
        <v>4.2</v>
      </c>
      <c r="G51" s="83">
        <v>6.4</v>
      </c>
      <c r="H51" s="160">
        <v>6</v>
      </c>
      <c r="I51" s="83">
        <v>13.3</v>
      </c>
      <c r="J51" s="83">
        <v>12.9</v>
      </c>
      <c r="K51" s="83">
        <v>7.6</v>
      </c>
      <c r="L51" s="83">
        <v>7.6</v>
      </c>
      <c r="M51" s="83">
        <v>11.9</v>
      </c>
      <c r="N51" s="83">
        <v>10.3</v>
      </c>
      <c r="O51" s="230">
        <v>12.8</v>
      </c>
      <c r="P51" s="83">
        <v>13.7</v>
      </c>
      <c r="Q51" s="83">
        <v>9.5</v>
      </c>
      <c r="R51" s="83">
        <v>8.5</v>
      </c>
      <c r="S51" s="83">
        <v>12.1</v>
      </c>
      <c r="T51" s="160">
        <v>11.5</v>
      </c>
      <c r="U51" s="83">
        <v>11.8</v>
      </c>
      <c r="V51" s="83">
        <v>12.7</v>
      </c>
      <c r="W51" s="83">
        <v>9.1999999999999993</v>
      </c>
      <c r="X51" s="83">
        <v>9.3000000000000007</v>
      </c>
      <c r="Y51" s="83">
        <v>11.3</v>
      </c>
      <c r="Z51" s="160">
        <v>10.9</v>
      </c>
    </row>
    <row r="52" spans="1:26" x14ac:dyDescent="0.25">
      <c r="A52" s="404"/>
      <c r="B52" s="95" t="s">
        <v>188</v>
      </c>
      <c r="C52" s="230">
        <v>36</v>
      </c>
      <c r="D52" s="83">
        <v>30.9</v>
      </c>
      <c r="E52" s="83">
        <v>17</v>
      </c>
      <c r="F52" s="83">
        <v>14.8</v>
      </c>
      <c r="G52" s="83">
        <v>30.1</v>
      </c>
      <c r="H52" s="160">
        <v>22.6</v>
      </c>
      <c r="I52" s="83">
        <v>46.8</v>
      </c>
      <c r="J52" s="83">
        <v>40.5</v>
      </c>
      <c r="K52" s="83">
        <v>25.5</v>
      </c>
      <c r="L52" s="83">
        <v>20.2</v>
      </c>
      <c r="M52" s="83">
        <v>40</v>
      </c>
      <c r="N52" s="83">
        <v>32.4</v>
      </c>
      <c r="O52" s="230">
        <v>49.2</v>
      </c>
      <c r="P52" s="83">
        <v>43.5</v>
      </c>
      <c r="Q52" s="83">
        <v>29.8</v>
      </c>
      <c r="R52" s="83">
        <v>23.1</v>
      </c>
      <c r="S52" s="83">
        <v>42.2</v>
      </c>
      <c r="T52" s="160">
        <v>35.799999999999997</v>
      </c>
      <c r="U52" s="83">
        <v>48.1</v>
      </c>
      <c r="V52" s="83">
        <v>42.2</v>
      </c>
      <c r="W52" s="83">
        <v>29.3</v>
      </c>
      <c r="X52" s="83">
        <v>23.7</v>
      </c>
      <c r="Y52" s="83">
        <v>41.1</v>
      </c>
      <c r="Z52" s="160">
        <v>34.799999999999997</v>
      </c>
    </row>
    <row r="53" spans="1:26" x14ac:dyDescent="0.25">
      <c r="A53" s="404" t="s">
        <v>180</v>
      </c>
      <c r="B53" s="95" t="s">
        <v>169</v>
      </c>
      <c r="C53" s="230">
        <v>82.2</v>
      </c>
      <c r="D53" s="83">
        <v>83.8</v>
      </c>
      <c r="E53" s="83">
        <v>91.4</v>
      </c>
      <c r="F53" s="83">
        <v>91.9</v>
      </c>
      <c r="G53" s="83">
        <v>84</v>
      </c>
      <c r="H53" s="160">
        <v>87</v>
      </c>
      <c r="I53" s="83">
        <v>71.099999999999994</v>
      </c>
      <c r="J53" s="83">
        <v>75.5</v>
      </c>
      <c r="K53" s="83">
        <v>84.5</v>
      </c>
      <c r="L53" s="83">
        <v>87</v>
      </c>
      <c r="M53" s="83">
        <v>74.599999999999994</v>
      </c>
      <c r="N53" s="83">
        <v>79.099999999999994</v>
      </c>
      <c r="O53" s="230">
        <v>72.900000000000006</v>
      </c>
      <c r="P53" s="83">
        <v>74.5</v>
      </c>
      <c r="Q53" s="83">
        <v>82.3</v>
      </c>
      <c r="R53" s="83">
        <v>85.9</v>
      </c>
      <c r="S53" s="83">
        <v>75.400000000000006</v>
      </c>
      <c r="T53" s="160">
        <v>77.900000000000006</v>
      </c>
      <c r="U53" s="83">
        <v>75.2</v>
      </c>
      <c r="V53" s="83">
        <v>76.099999999999994</v>
      </c>
      <c r="W53" s="83">
        <v>82.7</v>
      </c>
      <c r="X53" s="83">
        <v>86.3</v>
      </c>
      <c r="Y53" s="83">
        <v>77.2</v>
      </c>
      <c r="Z53" s="160">
        <v>79.099999999999994</v>
      </c>
    </row>
    <row r="54" spans="1:26" x14ac:dyDescent="0.25">
      <c r="A54" s="404"/>
      <c r="B54" s="95" t="s">
        <v>170</v>
      </c>
      <c r="C54" s="230">
        <v>15</v>
      </c>
      <c r="D54" s="83">
        <v>13.4</v>
      </c>
      <c r="E54" s="83">
        <v>6.9</v>
      </c>
      <c r="F54" s="83">
        <v>5.6</v>
      </c>
      <c r="G54" s="83">
        <v>13.3</v>
      </c>
      <c r="H54" s="160">
        <v>10.6</v>
      </c>
      <c r="I54" s="83">
        <v>22.7</v>
      </c>
      <c r="J54" s="83">
        <v>18.899999999999999</v>
      </c>
      <c r="K54" s="83">
        <v>11.9</v>
      </c>
      <c r="L54" s="83">
        <v>8.5</v>
      </c>
      <c r="M54" s="83">
        <v>19.7</v>
      </c>
      <c r="N54" s="83">
        <v>15.9</v>
      </c>
      <c r="O54" s="230">
        <v>22.5</v>
      </c>
      <c r="P54" s="83">
        <v>20</v>
      </c>
      <c r="Q54" s="83">
        <v>13.7</v>
      </c>
      <c r="R54" s="83">
        <v>9.6</v>
      </c>
      <c r="S54" s="83">
        <v>19.899999999999999</v>
      </c>
      <c r="T54" s="160">
        <v>17.2</v>
      </c>
      <c r="U54" s="83">
        <v>20.9</v>
      </c>
      <c r="V54" s="83">
        <v>19.100000000000001</v>
      </c>
      <c r="W54" s="83">
        <v>13.5</v>
      </c>
      <c r="X54" s="83">
        <v>9</v>
      </c>
      <c r="Y54" s="83">
        <v>18.600000000000001</v>
      </c>
      <c r="Z54" s="160">
        <v>16.399999999999999</v>
      </c>
    </row>
    <row r="55" spans="1:26" x14ac:dyDescent="0.25">
      <c r="A55" s="404"/>
      <c r="B55" s="95" t="s">
        <v>171</v>
      </c>
      <c r="C55" s="230">
        <v>2.8</v>
      </c>
      <c r="D55" s="83">
        <v>2.8</v>
      </c>
      <c r="E55" s="83">
        <v>1.7</v>
      </c>
      <c r="F55" s="83">
        <v>2.5</v>
      </c>
      <c r="G55" s="83">
        <v>2.6</v>
      </c>
      <c r="H55" s="160">
        <v>2.4</v>
      </c>
      <c r="I55" s="83">
        <v>6.3</v>
      </c>
      <c r="J55" s="83">
        <v>5.6</v>
      </c>
      <c r="K55" s="83">
        <v>3.7</v>
      </c>
      <c r="L55" s="83">
        <v>4.5</v>
      </c>
      <c r="M55" s="83">
        <v>5.7</v>
      </c>
      <c r="N55" s="83">
        <v>4.9000000000000004</v>
      </c>
      <c r="O55" s="230">
        <v>4.5</v>
      </c>
      <c r="P55" s="83">
        <v>5.5</v>
      </c>
      <c r="Q55" s="83">
        <v>4</v>
      </c>
      <c r="R55" s="83">
        <v>4.5</v>
      </c>
      <c r="S55" s="83">
        <v>4.7</v>
      </c>
      <c r="T55" s="160">
        <v>4.9000000000000004</v>
      </c>
      <c r="U55" s="83">
        <v>3.9</v>
      </c>
      <c r="V55" s="83">
        <v>4.8</v>
      </c>
      <c r="W55" s="83">
        <v>3.8</v>
      </c>
      <c r="X55" s="83">
        <v>4.7</v>
      </c>
      <c r="Y55" s="83">
        <v>4.2</v>
      </c>
      <c r="Z55" s="160">
        <v>4.5</v>
      </c>
    </row>
    <row r="56" spans="1:26" x14ac:dyDescent="0.25">
      <c r="A56" s="404"/>
      <c r="B56" s="95" t="s">
        <v>188</v>
      </c>
      <c r="C56" s="230">
        <v>17.8</v>
      </c>
      <c r="D56" s="83">
        <v>16.2</v>
      </c>
      <c r="E56" s="83">
        <v>8.6</v>
      </c>
      <c r="F56" s="83">
        <v>8.1</v>
      </c>
      <c r="G56" s="83">
        <v>16</v>
      </c>
      <c r="H56" s="160">
        <v>13</v>
      </c>
      <c r="I56" s="83">
        <v>28.9</v>
      </c>
      <c r="J56" s="83">
        <v>24.5</v>
      </c>
      <c r="K56" s="83">
        <v>15.5</v>
      </c>
      <c r="L56" s="83">
        <v>13</v>
      </c>
      <c r="M56" s="83">
        <v>25.4</v>
      </c>
      <c r="N56" s="83">
        <v>20.9</v>
      </c>
      <c r="O56" s="230">
        <v>27.1</v>
      </c>
      <c r="P56" s="83">
        <v>25.5</v>
      </c>
      <c r="Q56" s="83">
        <v>17.7</v>
      </c>
      <c r="R56" s="83">
        <v>14.1</v>
      </c>
      <c r="S56" s="83">
        <v>24.6</v>
      </c>
      <c r="T56" s="160">
        <v>22.1</v>
      </c>
      <c r="U56" s="83">
        <v>24.8</v>
      </c>
      <c r="V56" s="83">
        <v>23.9</v>
      </c>
      <c r="W56" s="83">
        <v>17.3</v>
      </c>
      <c r="X56" s="83">
        <v>13.7</v>
      </c>
      <c r="Y56" s="83">
        <v>22.8</v>
      </c>
      <c r="Z56" s="160">
        <v>20.9</v>
      </c>
    </row>
    <row r="57" spans="1:26" x14ac:dyDescent="0.25">
      <c r="A57" s="404" t="s">
        <v>181</v>
      </c>
      <c r="B57" s="95" t="s">
        <v>169</v>
      </c>
      <c r="C57" s="230">
        <v>93.3</v>
      </c>
      <c r="D57" s="83">
        <v>94.3</v>
      </c>
      <c r="E57" s="83">
        <v>96.6</v>
      </c>
      <c r="F57" s="83">
        <v>97</v>
      </c>
      <c r="G57" s="83">
        <v>94</v>
      </c>
      <c r="H57" s="160">
        <v>94.9</v>
      </c>
      <c r="I57" s="83">
        <v>86.2</v>
      </c>
      <c r="J57" s="83">
        <v>90.3</v>
      </c>
      <c r="K57" s="83">
        <v>93.3</v>
      </c>
      <c r="L57" s="83">
        <v>95.2</v>
      </c>
      <c r="M57" s="83">
        <v>88.4</v>
      </c>
      <c r="N57" s="83">
        <v>91.1</v>
      </c>
      <c r="O57" s="230">
        <v>89.7</v>
      </c>
      <c r="P57" s="83">
        <v>91.1</v>
      </c>
      <c r="Q57" s="83">
        <v>92.4</v>
      </c>
      <c r="R57" s="83">
        <v>94.5</v>
      </c>
      <c r="S57" s="83">
        <v>90.6</v>
      </c>
      <c r="T57" s="160">
        <v>91.6</v>
      </c>
      <c r="U57" s="83">
        <v>91.4</v>
      </c>
      <c r="V57" s="83">
        <v>92</v>
      </c>
      <c r="W57" s="83">
        <v>93.3</v>
      </c>
      <c r="X57" s="83">
        <v>94.4</v>
      </c>
      <c r="Y57" s="83">
        <v>91.9</v>
      </c>
      <c r="Z57" s="160">
        <v>92.4</v>
      </c>
    </row>
    <row r="58" spans="1:26" x14ac:dyDescent="0.25">
      <c r="A58" s="404"/>
      <c r="B58" s="95" t="s">
        <v>170</v>
      </c>
      <c r="C58" s="230">
        <v>6.1</v>
      </c>
      <c r="D58" s="83">
        <v>5.0999999999999996</v>
      </c>
      <c r="E58" s="83">
        <v>3.1</v>
      </c>
      <c r="F58" s="83">
        <v>2.2999999999999998</v>
      </c>
      <c r="G58" s="83">
        <v>5.5</v>
      </c>
      <c r="H58" s="160">
        <v>4.5</v>
      </c>
      <c r="I58" s="83">
        <v>11.9</v>
      </c>
      <c r="J58" s="83">
        <v>8.1999999999999993</v>
      </c>
      <c r="K58" s="83">
        <v>5.6</v>
      </c>
      <c r="L58" s="83">
        <v>3.9</v>
      </c>
      <c r="M58" s="83">
        <v>9.9</v>
      </c>
      <c r="N58" s="83">
        <v>7.5</v>
      </c>
      <c r="O58" s="230">
        <v>9.1999999999999993</v>
      </c>
      <c r="P58" s="83">
        <v>7.7</v>
      </c>
      <c r="Q58" s="83">
        <v>6.5</v>
      </c>
      <c r="R58" s="83">
        <v>4.9000000000000004</v>
      </c>
      <c r="S58" s="83">
        <v>8.3000000000000007</v>
      </c>
      <c r="T58" s="160">
        <v>7.3</v>
      </c>
      <c r="U58" s="83">
        <v>7.8</v>
      </c>
      <c r="V58" s="83">
        <v>7</v>
      </c>
      <c r="W58" s="83">
        <v>5.8</v>
      </c>
      <c r="X58" s="83">
        <v>4.9000000000000004</v>
      </c>
      <c r="Y58" s="83">
        <v>7.2</v>
      </c>
      <c r="Z58" s="160">
        <v>6.6</v>
      </c>
    </row>
    <row r="59" spans="1:26" x14ac:dyDescent="0.25">
      <c r="A59" s="404"/>
      <c r="B59" s="95" t="s">
        <v>171</v>
      </c>
      <c r="C59" s="230">
        <v>0.5</v>
      </c>
      <c r="D59" s="83">
        <v>0.6</v>
      </c>
      <c r="E59" s="83">
        <v>0.3</v>
      </c>
      <c r="F59" s="83">
        <v>0.7</v>
      </c>
      <c r="G59" s="83">
        <v>0.6</v>
      </c>
      <c r="H59" s="160">
        <v>0.6</v>
      </c>
      <c r="I59" s="83">
        <v>1.9</v>
      </c>
      <c r="J59" s="83">
        <v>1.4</v>
      </c>
      <c r="K59" s="83">
        <v>1.1000000000000001</v>
      </c>
      <c r="L59" s="83">
        <v>0.8</v>
      </c>
      <c r="M59" s="83">
        <v>1.6</v>
      </c>
      <c r="N59" s="83">
        <v>1.4</v>
      </c>
      <c r="O59" s="230">
        <v>1.1000000000000001</v>
      </c>
      <c r="P59" s="83">
        <v>1.2</v>
      </c>
      <c r="Q59" s="83">
        <v>1.1000000000000001</v>
      </c>
      <c r="R59" s="83">
        <v>0.6</v>
      </c>
      <c r="S59" s="83">
        <v>1.1000000000000001</v>
      </c>
      <c r="T59" s="160">
        <v>1.1000000000000001</v>
      </c>
      <c r="U59" s="83">
        <v>0.8</v>
      </c>
      <c r="V59" s="83">
        <v>1</v>
      </c>
      <c r="W59" s="83">
        <v>0.9</v>
      </c>
      <c r="X59" s="83">
        <v>0.7</v>
      </c>
      <c r="Y59" s="83">
        <v>0.9</v>
      </c>
      <c r="Z59" s="160">
        <v>1</v>
      </c>
    </row>
    <row r="60" spans="1:26" ht="15.75" thickBot="1" x14ac:dyDescent="0.3">
      <c r="A60" s="410"/>
      <c r="B60" s="226" t="s">
        <v>188</v>
      </c>
      <c r="C60" s="232">
        <v>6.7</v>
      </c>
      <c r="D60" s="162">
        <v>5.7</v>
      </c>
      <c r="E60" s="162">
        <v>3.4</v>
      </c>
      <c r="F60" s="162">
        <v>3</v>
      </c>
      <c r="G60" s="162">
        <v>6</v>
      </c>
      <c r="H60" s="163">
        <v>5.0999999999999996</v>
      </c>
      <c r="I60" s="162">
        <v>13.8</v>
      </c>
      <c r="J60" s="162">
        <v>9.6999999999999993</v>
      </c>
      <c r="K60" s="162">
        <v>6.7</v>
      </c>
      <c r="L60" s="162">
        <v>4.8</v>
      </c>
      <c r="M60" s="162">
        <v>11.6</v>
      </c>
      <c r="N60" s="162">
        <v>8.9</v>
      </c>
      <c r="O60" s="232">
        <v>10.3</v>
      </c>
      <c r="P60" s="162">
        <v>8.9</v>
      </c>
      <c r="Q60" s="162">
        <v>7.6</v>
      </c>
      <c r="R60" s="162">
        <v>5.5</v>
      </c>
      <c r="S60" s="162">
        <v>9.4</v>
      </c>
      <c r="T60" s="163">
        <v>8.4</v>
      </c>
      <c r="U60" s="162">
        <v>8.6</v>
      </c>
      <c r="V60" s="162">
        <v>8</v>
      </c>
      <c r="W60" s="162">
        <v>6.7</v>
      </c>
      <c r="X60" s="162">
        <v>5.6</v>
      </c>
      <c r="Y60" s="162">
        <v>8.1</v>
      </c>
      <c r="Z60" s="163">
        <v>7.6</v>
      </c>
    </row>
    <row r="61" spans="1:26" x14ac:dyDescent="0.25">
      <c r="A61" s="64" t="s">
        <v>182</v>
      </c>
    </row>
    <row r="62" spans="1:26" x14ac:dyDescent="0.25">
      <c r="A62" s="65" t="s">
        <v>183</v>
      </c>
    </row>
  </sheetData>
  <mergeCells count="19">
    <mergeCell ref="A57:A60"/>
    <mergeCell ref="A32:A35"/>
    <mergeCell ref="A36:A39"/>
    <mergeCell ref="A41:A44"/>
    <mergeCell ref="A45:A48"/>
    <mergeCell ref="A49:A52"/>
    <mergeCell ref="A53:A56"/>
    <mergeCell ref="U4:Z4"/>
    <mergeCell ref="A5:B5"/>
    <mergeCell ref="A28:A31"/>
    <mergeCell ref="A4:B4"/>
    <mergeCell ref="C4:H4"/>
    <mergeCell ref="I4:N4"/>
    <mergeCell ref="O4:T4"/>
    <mergeCell ref="A6:A9"/>
    <mergeCell ref="A11:A14"/>
    <mergeCell ref="A15:A18"/>
    <mergeCell ref="A19:A22"/>
    <mergeCell ref="A24:A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zoomScaleNormal="100" workbookViewId="0"/>
  </sheetViews>
  <sheetFormatPr defaultRowHeight="15" x14ac:dyDescent="0.25"/>
  <cols>
    <col min="1" max="1" width="19" style="58" customWidth="1"/>
    <col min="2" max="2" width="9.7109375" style="58" customWidth="1"/>
    <col min="3" max="5" width="10.7109375" style="58" customWidth="1"/>
    <col min="6" max="6" width="9.7109375" style="58" customWidth="1"/>
    <col min="7" max="9" width="10.7109375" style="58" customWidth="1"/>
    <col min="10" max="10" width="9.7109375" style="58" customWidth="1"/>
    <col min="11" max="13" width="10.7109375" style="58" customWidth="1"/>
    <col min="14" max="16384" width="9.140625" style="58"/>
  </cols>
  <sheetData>
    <row r="1" spans="1:14" ht="15.75" x14ac:dyDescent="0.25">
      <c r="A1" s="217" t="s">
        <v>294</v>
      </c>
    </row>
    <row r="3" spans="1:14" ht="15.75" thickBot="1" x14ac:dyDescent="0.3">
      <c r="A3" s="58" t="s">
        <v>685</v>
      </c>
    </row>
    <row r="4" spans="1:14" x14ac:dyDescent="0.25">
      <c r="A4" s="416"/>
      <c r="B4" s="418" t="s">
        <v>239</v>
      </c>
      <c r="C4" s="419"/>
      <c r="D4" s="419"/>
      <c r="E4" s="420"/>
      <c r="F4" s="418" t="s">
        <v>240</v>
      </c>
      <c r="G4" s="419"/>
      <c r="H4" s="419"/>
      <c r="I4" s="420"/>
      <c r="J4" s="419" t="s">
        <v>241</v>
      </c>
      <c r="K4" s="419"/>
      <c r="L4" s="419"/>
      <c r="M4" s="421"/>
    </row>
    <row r="5" spans="1:14" ht="30" x14ac:dyDescent="0.25">
      <c r="A5" s="417"/>
      <c r="B5" s="165" t="s">
        <v>169</v>
      </c>
      <c r="C5" s="166" t="s">
        <v>170</v>
      </c>
      <c r="D5" s="166" t="s">
        <v>171</v>
      </c>
      <c r="E5" s="167" t="s">
        <v>4</v>
      </c>
      <c r="F5" s="165" t="s">
        <v>169</v>
      </c>
      <c r="G5" s="166" t="s">
        <v>170</v>
      </c>
      <c r="H5" s="166" t="s">
        <v>171</v>
      </c>
      <c r="I5" s="167" t="s">
        <v>4</v>
      </c>
      <c r="J5" s="166" t="s">
        <v>169</v>
      </c>
      <c r="K5" s="166" t="s">
        <v>170</v>
      </c>
      <c r="L5" s="166" t="s">
        <v>171</v>
      </c>
      <c r="M5" s="168" t="s">
        <v>4</v>
      </c>
      <c r="N5" s="2"/>
    </row>
    <row r="6" spans="1:14" x14ac:dyDescent="0.25">
      <c r="A6" s="169" t="s">
        <v>242</v>
      </c>
      <c r="B6" s="170">
        <v>256102</v>
      </c>
      <c r="C6" s="171">
        <v>67731</v>
      </c>
      <c r="D6" s="171">
        <v>52759</v>
      </c>
      <c r="E6" s="172">
        <v>376592</v>
      </c>
      <c r="F6" s="170">
        <v>370555</v>
      </c>
      <c r="G6" s="171">
        <v>30062</v>
      </c>
      <c r="H6" s="171">
        <v>24832</v>
      </c>
      <c r="I6" s="172">
        <v>425449</v>
      </c>
      <c r="J6" s="171">
        <v>110341</v>
      </c>
      <c r="K6" s="171">
        <v>40941</v>
      </c>
      <c r="L6" s="171">
        <v>44005</v>
      </c>
      <c r="M6" s="173">
        <v>195287</v>
      </c>
    </row>
    <row r="7" spans="1:14" x14ac:dyDescent="0.25">
      <c r="A7" s="169" t="s">
        <v>243</v>
      </c>
      <c r="B7" s="170">
        <v>33555</v>
      </c>
      <c r="C7" s="171">
        <v>8920</v>
      </c>
      <c r="D7" s="171">
        <v>7913</v>
      </c>
      <c r="E7" s="172">
        <v>50388</v>
      </c>
      <c r="F7" s="170">
        <v>35602</v>
      </c>
      <c r="G7" s="171">
        <v>4162</v>
      </c>
      <c r="H7" s="171">
        <v>3490</v>
      </c>
      <c r="I7" s="172">
        <v>43254</v>
      </c>
      <c r="J7" s="171">
        <v>15043</v>
      </c>
      <c r="K7" s="171">
        <v>3740</v>
      </c>
      <c r="L7" s="171">
        <v>6581</v>
      </c>
      <c r="M7" s="173">
        <v>25364</v>
      </c>
    </row>
    <row r="8" spans="1:14" x14ac:dyDescent="0.25">
      <c r="A8" s="169" t="s">
        <v>244</v>
      </c>
      <c r="B8" s="170">
        <v>344503</v>
      </c>
      <c r="C8" s="171">
        <v>116603</v>
      </c>
      <c r="D8" s="171">
        <v>82454</v>
      </c>
      <c r="E8" s="172">
        <v>543560</v>
      </c>
      <c r="F8" s="170">
        <v>370233</v>
      </c>
      <c r="G8" s="171">
        <v>30264</v>
      </c>
      <c r="H8" s="171">
        <v>28874</v>
      </c>
      <c r="I8" s="172">
        <v>429371</v>
      </c>
      <c r="J8" s="171">
        <v>137556</v>
      </c>
      <c r="K8" s="171">
        <v>63093</v>
      </c>
      <c r="L8" s="171">
        <v>81398</v>
      </c>
      <c r="M8" s="173">
        <v>282047</v>
      </c>
    </row>
    <row r="9" spans="1:14" x14ac:dyDescent="0.25">
      <c r="A9" s="169" t="s">
        <v>245</v>
      </c>
      <c r="B9" s="170">
        <v>153035</v>
      </c>
      <c r="C9" s="171">
        <v>37066</v>
      </c>
      <c r="D9" s="171">
        <v>26267</v>
      </c>
      <c r="E9" s="172">
        <v>216368</v>
      </c>
      <c r="F9" s="170">
        <v>237852</v>
      </c>
      <c r="G9" s="171">
        <v>14481</v>
      </c>
      <c r="H9" s="171">
        <v>12367</v>
      </c>
      <c r="I9" s="172">
        <v>264700</v>
      </c>
      <c r="J9" s="171">
        <v>72265</v>
      </c>
      <c r="K9" s="171">
        <v>28103</v>
      </c>
      <c r="L9" s="171">
        <v>29049</v>
      </c>
      <c r="M9" s="173">
        <v>129417</v>
      </c>
    </row>
    <row r="10" spans="1:14" x14ac:dyDescent="0.25">
      <c r="A10" s="169" t="s">
        <v>246</v>
      </c>
      <c r="B10" s="170">
        <v>1542873</v>
      </c>
      <c r="C10" s="171">
        <v>688039</v>
      </c>
      <c r="D10" s="171">
        <v>614780</v>
      </c>
      <c r="E10" s="172">
        <v>2845692</v>
      </c>
      <c r="F10" s="170">
        <v>1285527</v>
      </c>
      <c r="G10" s="171">
        <v>125635</v>
      </c>
      <c r="H10" s="171">
        <v>117299</v>
      </c>
      <c r="I10" s="172">
        <v>1528461</v>
      </c>
      <c r="J10" s="171">
        <v>811978</v>
      </c>
      <c r="K10" s="171">
        <v>481577</v>
      </c>
      <c r="L10" s="171">
        <v>636100</v>
      </c>
      <c r="M10" s="173">
        <v>1929655</v>
      </c>
    </row>
    <row r="11" spans="1:14" x14ac:dyDescent="0.25">
      <c r="A11" s="169" t="s">
        <v>247</v>
      </c>
      <c r="B11" s="170">
        <v>308924</v>
      </c>
      <c r="C11" s="171">
        <v>96491</v>
      </c>
      <c r="D11" s="171">
        <v>72404</v>
      </c>
      <c r="E11" s="172">
        <v>477819</v>
      </c>
      <c r="F11" s="170">
        <v>250686</v>
      </c>
      <c r="G11" s="171">
        <v>17419</v>
      </c>
      <c r="H11" s="171">
        <v>14691</v>
      </c>
      <c r="I11" s="172">
        <v>282796</v>
      </c>
      <c r="J11" s="171">
        <v>103078</v>
      </c>
      <c r="K11" s="171">
        <v>49752</v>
      </c>
      <c r="L11" s="171">
        <v>56991</v>
      </c>
      <c r="M11" s="173">
        <v>209821</v>
      </c>
    </row>
    <row r="12" spans="1:14" x14ac:dyDescent="0.25">
      <c r="A12" s="169" t="s">
        <v>248</v>
      </c>
      <c r="B12" s="170">
        <v>206052</v>
      </c>
      <c r="C12" s="171">
        <v>74004</v>
      </c>
      <c r="D12" s="171">
        <v>59870</v>
      </c>
      <c r="E12" s="172">
        <v>339926</v>
      </c>
      <c r="F12" s="170">
        <v>179305</v>
      </c>
      <c r="G12" s="171">
        <v>31650</v>
      </c>
      <c r="H12" s="171">
        <v>26806</v>
      </c>
      <c r="I12" s="172">
        <v>237761</v>
      </c>
      <c r="J12" s="171">
        <v>85424</v>
      </c>
      <c r="K12" s="171">
        <v>40114</v>
      </c>
      <c r="L12" s="171">
        <v>52114</v>
      </c>
      <c r="M12" s="173">
        <v>177652</v>
      </c>
    </row>
    <row r="13" spans="1:14" x14ac:dyDescent="0.25">
      <c r="A13" s="169" t="s">
        <v>249</v>
      </c>
      <c r="B13" s="170">
        <v>56160</v>
      </c>
      <c r="C13" s="171">
        <v>17145</v>
      </c>
      <c r="D13" s="171">
        <v>14953</v>
      </c>
      <c r="E13" s="172">
        <v>88258</v>
      </c>
      <c r="F13" s="170">
        <v>55106</v>
      </c>
      <c r="G13" s="171">
        <v>4606</v>
      </c>
      <c r="H13" s="171">
        <v>4754</v>
      </c>
      <c r="I13" s="172">
        <v>64466</v>
      </c>
      <c r="J13" s="171">
        <v>18955</v>
      </c>
      <c r="K13" s="171">
        <v>8242</v>
      </c>
      <c r="L13" s="171">
        <v>9172</v>
      </c>
      <c r="M13" s="173">
        <v>36369</v>
      </c>
    </row>
    <row r="14" spans="1:14" x14ac:dyDescent="0.25">
      <c r="A14" s="169" t="s">
        <v>250</v>
      </c>
      <c r="B14" s="170">
        <v>26544</v>
      </c>
      <c r="C14" s="171">
        <v>8306</v>
      </c>
      <c r="D14" s="171">
        <v>8975</v>
      </c>
      <c r="E14" s="172">
        <v>43825</v>
      </c>
      <c r="F14" s="170">
        <v>16866</v>
      </c>
      <c r="G14" s="171">
        <v>2284</v>
      </c>
      <c r="H14" s="171">
        <v>1401</v>
      </c>
      <c r="I14" s="172">
        <v>20551</v>
      </c>
      <c r="J14" s="171">
        <v>25442</v>
      </c>
      <c r="K14" s="171">
        <v>9860</v>
      </c>
      <c r="L14" s="171">
        <v>16394</v>
      </c>
      <c r="M14" s="173">
        <v>51696</v>
      </c>
    </row>
    <row r="15" spans="1:14" x14ac:dyDescent="0.25">
      <c r="A15" s="169" t="s">
        <v>251</v>
      </c>
      <c r="B15" s="170">
        <v>928232</v>
      </c>
      <c r="C15" s="171">
        <v>377227</v>
      </c>
      <c r="D15" s="171">
        <v>378996</v>
      </c>
      <c r="E15" s="172">
        <v>1684455</v>
      </c>
      <c r="F15" s="170">
        <v>1302658</v>
      </c>
      <c r="G15" s="171">
        <v>159319</v>
      </c>
      <c r="H15" s="171">
        <v>146819</v>
      </c>
      <c r="I15" s="172">
        <v>1608796</v>
      </c>
      <c r="J15" s="171">
        <v>374340</v>
      </c>
      <c r="K15" s="171">
        <v>208997</v>
      </c>
      <c r="L15" s="171">
        <v>290737</v>
      </c>
      <c r="M15" s="173">
        <v>874074</v>
      </c>
    </row>
    <row r="16" spans="1:14" x14ac:dyDescent="0.25">
      <c r="A16" s="169" t="s">
        <v>252</v>
      </c>
      <c r="B16" s="170">
        <v>497181</v>
      </c>
      <c r="C16" s="171">
        <v>156832</v>
      </c>
      <c r="D16" s="171">
        <v>132045</v>
      </c>
      <c r="E16" s="172">
        <v>786058</v>
      </c>
      <c r="F16" s="170">
        <v>480389</v>
      </c>
      <c r="G16" s="171">
        <v>39648</v>
      </c>
      <c r="H16" s="171">
        <v>35608</v>
      </c>
      <c r="I16" s="172">
        <v>555645</v>
      </c>
      <c r="J16" s="171">
        <v>187047</v>
      </c>
      <c r="K16" s="171">
        <v>80227</v>
      </c>
      <c r="L16" s="171">
        <v>109372</v>
      </c>
      <c r="M16" s="173">
        <v>376646</v>
      </c>
    </row>
    <row r="17" spans="1:13" x14ac:dyDescent="0.25">
      <c r="A17" s="169" t="s">
        <v>253</v>
      </c>
      <c r="B17" s="170">
        <v>55926</v>
      </c>
      <c r="C17" s="171">
        <v>27490</v>
      </c>
      <c r="D17" s="171">
        <v>25013</v>
      </c>
      <c r="E17" s="172">
        <v>108429</v>
      </c>
      <c r="F17" s="170">
        <v>61931</v>
      </c>
      <c r="G17" s="171">
        <v>4966</v>
      </c>
      <c r="H17" s="171">
        <v>6021</v>
      </c>
      <c r="I17" s="172">
        <v>72918</v>
      </c>
      <c r="J17" s="171">
        <v>36340</v>
      </c>
      <c r="K17" s="171">
        <v>14578</v>
      </c>
      <c r="L17" s="171">
        <v>17398</v>
      </c>
      <c r="M17" s="173">
        <v>68316</v>
      </c>
    </row>
    <row r="18" spans="1:13" x14ac:dyDescent="0.25">
      <c r="A18" s="169" t="s">
        <v>254</v>
      </c>
      <c r="B18" s="170">
        <v>91286</v>
      </c>
      <c r="C18" s="171">
        <v>25176</v>
      </c>
      <c r="D18" s="171">
        <v>19844</v>
      </c>
      <c r="E18" s="172">
        <v>136306</v>
      </c>
      <c r="F18" s="170">
        <v>97818</v>
      </c>
      <c r="G18" s="171">
        <v>5630</v>
      </c>
      <c r="H18" s="171">
        <v>5833</v>
      </c>
      <c r="I18" s="172">
        <v>109281</v>
      </c>
      <c r="J18" s="171">
        <v>26939</v>
      </c>
      <c r="K18" s="171">
        <v>14047</v>
      </c>
      <c r="L18" s="171">
        <v>11502</v>
      </c>
      <c r="M18" s="173">
        <v>52488</v>
      </c>
    </row>
    <row r="19" spans="1:13" x14ac:dyDescent="0.25">
      <c r="A19" s="169" t="s">
        <v>255</v>
      </c>
      <c r="B19" s="170">
        <v>664672</v>
      </c>
      <c r="C19" s="171">
        <v>219144</v>
      </c>
      <c r="D19" s="171">
        <v>183102</v>
      </c>
      <c r="E19" s="172">
        <v>1066918</v>
      </c>
      <c r="F19" s="170">
        <v>717652</v>
      </c>
      <c r="G19" s="171">
        <v>79742</v>
      </c>
      <c r="H19" s="171">
        <v>70887</v>
      </c>
      <c r="I19" s="172">
        <v>868281</v>
      </c>
      <c r="J19" s="171">
        <v>256448</v>
      </c>
      <c r="K19" s="171">
        <v>118391</v>
      </c>
      <c r="L19" s="171">
        <v>159305</v>
      </c>
      <c r="M19" s="173">
        <v>534144</v>
      </c>
    </row>
    <row r="20" spans="1:13" x14ac:dyDescent="0.25">
      <c r="A20" s="169" t="s">
        <v>256</v>
      </c>
      <c r="B20" s="170">
        <v>430510</v>
      </c>
      <c r="C20" s="171">
        <v>96376</v>
      </c>
      <c r="D20" s="171">
        <v>62669</v>
      </c>
      <c r="E20" s="172">
        <v>589555</v>
      </c>
      <c r="F20" s="170">
        <v>406735</v>
      </c>
      <c r="G20" s="171">
        <v>32101</v>
      </c>
      <c r="H20" s="171">
        <v>21324</v>
      </c>
      <c r="I20" s="172">
        <v>460160</v>
      </c>
      <c r="J20" s="171">
        <v>130658</v>
      </c>
      <c r="K20" s="171">
        <v>56121</v>
      </c>
      <c r="L20" s="171">
        <v>63702</v>
      </c>
      <c r="M20" s="173">
        <v>250481</v>
      </c>
    </row>
    <row r="21" spans="1:13" x14ac:dyDescent="0.25">
      <c r="A21" s="169" t="s">
        <v>257</v>
      </c>
      <c r="B21" s="170">
        <v>181201</v>
      </c>
      <c r="C21" s="171">
        <v>41700</v>
      </c>
      <c r="D21" s="171">
        <v>23392</v>
      </c>
      <c r="E21" s="172">
        <v>246293</v>
      </c>
      <c r="F21" s="170">
        <v>257652</v>
      </c>
      <c r="G21" s="171">
        <v>20542</v>
      </c>
      <c r="H21" s="171">
        <v>13584</v>
      </c>
      <c r="I21" s="172">
        <v>291778</v>
      </c>
      <c r="J21" s="171">
        <v>62710</v>
      </c>
      <c r="K21" s="171">
        <v>24457</v>
      </c>
      <c r="L21" s="171">
        <v>27196</v>
      </c>
      <c r="M21" s="173">
        <v>114363</v>
      </c>
    </row>
    <row r="22" spans="1:13" x14ac:dyDescent="0.25">
      <c r="A22" s="169" t="s">
        <v>258</v>
      </c>
      <c r="B22" s="170">
        <v>158903</v>
      </c>
      <c r="C22" s="171">
        <v>39282</v>
      </c>
      <c r="D22" s="171">
        <v>22056</v>
      </c>
      <c r="E22" s="172">
        <v>220241</v>
      </c>
      <c r="F22" s="170">
        <v>200932</v>
      </c>
      <c r="G22" s="171">
        <v>17313</v>
      </c>
      <c r="H22" s="171">
        <v>10245</v>
      </c>
      <c r="I22" s="172">
        <v>228490</v>
      </c>
      <c r="J22" s="171">
        <v>71646</v>
      </c>
      <c r="K22" s="171">
        <v>26112</v>
      </c>
      <c r="L22" s="171">
        <v>24423</v>
      </c>
      <c r="M22" s="173">
        <v>122181</v>
      </c>
    </row>
    <row r="23" spans="1:13" x14ac:dyDescent="0.25">
      <c r="A23" s="169" t="s">
        <v>259</v>
      </c>
      <c r="B23" s="170">
        <v>241563</v>
      </c>
      <c r="C23" s="171">
        <v>65063</v>
      </c>
      <c r="D23" s="171">
        <v>44755</v>
      </c>
      <c r="E23" s="172">
        <v>351381</v>
      </c>
      <c r="F23" s="170">
        <v>316152</v>
      </c>
      <c r="G23" s="171">
        <v>23645</v>
      </c>
      <c r="H23" s="171">
        <v>19687</v>
      </c>
      <c r="I23" s="172">
        <v>359484</v>
      </c>
      <c r="J23" s="171">
        <v>110832</v>
      </c>
      <c r="K23" s="171">
        <v>41320</v>
      </c>
      <c r="L23" s="171">
        <v>42636</v>
      </c>
      <c r="M23" s="173">
        <v>194788</v>
      </c>
    </row>
    <row r="24" spans="1:13" x14ac:dyDescent="0.25">
      <c r="A24" s="169" t="s">
        <v>260</v>
      </c>
      <c r="B24" s="170">
        <v>205022</v>
      </c>
      <c r="C24" s="171">
        <v>54358</v>
      </c>
      <c r="D24" s="171">
        <v>44296</v>
      </c>
      <c r="E24" s="172">
        <v>303676</v>
      </c>
      <c r="F24" s="170">
        <v>350626</v>
      </c>
      <c r="G24" s="171">
        <v>24600</v>
      </c>
      <c r="H24" s="171">
        <v>20252</v>
      </c>
      <c r="I24" s="172">
        <v>395478</v>
      </c>
      <c r="J24" s="171">
        <v>101792</v>
      </c>
      <c r="K24" s="171">
        <v>37582</v>
      </c>
      <c r="L24" s="171">
        <v>48472</v>
      </c>
      <c r="M24" s="173">
        <v>187846</v>
      </c>
    </row>
    <row r="25" spans="1:13" x14ac:dyDescent="0.25">
      <c r="A25" s="169" t="s">
        <v>261</v>
      </c>
      <c r="B25" s="170">
        <v>86536</v>
      </c>
      <c r="C25" s="171">
        <v>27412</v>
      </c>
      <c r="D25" s="171">
        <v>23045</v>
      </c>
      <c r="E25" s="172">
        <v>136993</v>
      </c>
      <c r="F25" s="170">
        <v>102842</v>
      </c>
      <c r="G25" s="171">
        <v>10842</v>
      </c>
      <c r="H25" s="171">
        <v>9852</v>
      </c>
      <c r="I25" s="172">
        <v>123536</v>
      </c>
      <c r="J25" s="171">
        <v>32224</v>
      </c>
      <c r="K25" s="171">
        <v>15833</v>
      </c>
      <c r="L25" s="171">
        <v>17164</v>
      </c>
      <c r="M25" s="173">
        <v>65221</v>
      </c>
    </row>
    <row r="26" spans="1:13" x14ac:dyDescent="0.25">
      <c r="A26" s="169" t="s">
        <v>262</v>
      </c>
      <c r="B26" s="170">
        <v>378379</v>
      </c>
      <c r="C26" s="171">
        <v>112903</v>
      </c>
      <c r="D26" s="171">
        <v>82342</v>
      </c>
      <c r="E26" s="172">
        <v>573624</v>
      </c>
      <c r="F26" s="170">
        <v>261268</v>
      </c>
      <c r="G26" s="171">
        <v>28170</v>
      </c>
      <c r="H26" s="171">
        <v>23249</v>
      </c>
      <c r="I26" s="172">
        <v>312687</v>
      </c>
      <c r="J26" s="171">
        <v>129901</v>
      </c>
      <c r="K26" s="171">
        <v>53829</v>
      </c>
      <c r="L26" s="171">
        <v>68634</v>
      </c>
      <c r="M26" s="173">
        <v>252364</v>
      </c>
    </row>
    <row r="27" spans="1:13" x14ac:dyDescent="0.25">
      <c r="A27" s="169" t="s">
        <v>263</v>
      </c>
      <c r="B27" s="170">
        <v>372118</v>
      </c>
      <c r="C27" s="171">
        <v>122733</v>
      </c>
      <c r="D27" s="171">
        <v>101075</v>
      </c>
      <c r="E27" s="172">
        <v>595926</v>
      </c>
      <c r="F27" s="170">
        <v>303460</v>
      </c>
      <c r="G27" s="171">
        <v>53887</v>
      </c>
      <c r="H27" s="171">
        <v>37422</v>
      </c>
      <c r="I27" s="172">
        <v>394769</v>
      </c>
      <c r="J27" s="171">
        <v>187951</v>
      </c>
      <c r="K27" s="171">
        <v>86690</v>
      </c>
      <c r="L27" s="171">
        <v>102010</v>
      </c>
      <c r="M27" s="173">
        <v>376651</v>
      </c>
    </row>
    <row r="28" spans="1:13" x14ac:dyDescent="0.25">
      <c r="A28" s="169" t="s">
        <v>264</v>
      </c>
      <c r="B28" s="170">
        <v>608446</v>
      </c>
      <c r="C28" s="171">
        <v>181865</v>
      </c>
      <c r="D28" s="171">
        <v>143140</v>
      </c>
      <c r="E28" s="172">
        <v>933451</v>
      </c>
      <c r="F28" s="170">
        <v>674697</v>
      </c>
      <c r="G28" s="171">
        <v>68527</v>
      </c>
      <c r="H28" s="171">
        <v>59785</v>
      </c>
      <c r="I28" s="172">
        <v>803009</v>
      </c>
      <c r="J28" s="171">
        <v>187658</v>
      </c>
      <c r="K28" s="171">
        <v>99489</v>
      </c>
      <c r="L28" s="171">
        <v>110705</v>
      </c>
      <c r="M28" s="173">
        <v>397852</v>
      </c>
    </row>
    <row r="29" spans="1:13" x14ac:dyDescent="0.25">
      <c r="A29" s="169" t="s">
        <v>265</v>
      </c>
      <c r="B29" s="170">
        <v>336650</v>
      </c>
      <c r="C29" s="171">
        <v>84828</v>
      </c>
      <c r="D29" s="171">
        <v>59531</v>
      </c>
      <c r="E29" s="172">
        <v>481009</v>
      </c>
      <c r="F29" s="170">
        <v>352914</v>
      </c>
      <c r="G29" s="171">
        <v>30813</v>
      </c>
      <c r="H29" s="171">
        <v>19912</v>
      </c>
      <c r="I29" s="172">
        <v>403639</v>
      </c>
      <c r="J29" s="171">
        <v>97683</v>
      </c>
      <c r="K29" s="171">
        <v>54044</v>
      </c>
      <c r="L29" s="171">
        <v>54123</v>
      </c>
      <c r="M29" s="173">
        <v>205850</v>
      </c>
    </row>
    <row r="30" spans="1:13" x14ac:dyDescent="0.25">
      <c r="A30" s="169" t="s">
        <v>266</v>
      </c>
      <c r="B30" s="170">
        <v>130117</v>
      </c>
      <c r="C30" s="171">
        <v>35527</v>
      </c>
      <c r="D30" s="171">
        <v>31134</v>
      </c>
      <c r="E30" s="172">
        <v>196778</v>
      </c>
      <c r="F30" s="170">
        <v>234098</v>
      </c>
      <c r="G30" s="171">
        <v>22818</v>
      </c>
      <c r="H30" s="171">
        <v>18531</v>
      </c>
      <c r="I30" s="172">
        <v>275447</v>
      </c>
      <c r="J30" s="171">
        <v>66385</v>
      </c>
      <c r="K30" s="171">
        <v>25387</v>
      </c>
      <c r="L30" s="171">
        <v>22178</v>
      </c>
      <c r="M30" s="173">
        <v>113950</v>
      </c>
    </row>
    <row r="31" spans="1:13" x14ac:dyDescent="0.25">
      <c r="A31" s="169" t="s">
        <v>267</v>
      </c>
      <c r="B31" s="170">
        <v>348291</v>
      </c>
      <c r="C31" s="171">
        <v>94777</v>
      </c>
      <c r="D31" s="171">
        <v>65781</v>
      </c>
      <c r="E31" s="172">
        <v>508849</v>
      </c>
      <c r="F31" s="170">
        <v>423896</v>
      </c>
      <c r="G31" s="171">
        <v>38000</v>
      </c>
      <c r="H31" s="171">
        <v>26408</v>
      </c>
      <c r="I31" s="172">
        <v>488304</v>
      </c>
      <c r="J31" s="171">
        <v>139729</v>
      </c>
      <c r="K31" s="171">
        <v>60349</v>
      </c>
      <c r="L31" s="171">
        <v>65107</v>
      </c>
      <c r="M31" s="173">
        <v>265185</v>
      </c>
    </row>
    <row r="32" spans="1:13" x14ac:dyDescent="0.25">
      <c r="A32" s="169" t="s">
        <v>268</v>
      </c>
      <c r="B32" s="170">
        <v>58096</v>
      </c>
      <c r="C32" s="171">
        <v>17826</v>
      </c>
      <c r="D32" s="171">
        <v>14458</v>
      </c>
      <c r="E32" s="172">
        <v>90380</v>
      </c>
      <c r="F32" s="170">
        <v>85520</v>
      </c>
      <c r="G32" s="171">
        <v>6702</v>
      </c>
      <c r="H32" s="171">
        <v>4855</v>
      </c>
      <c r="I32" s="172">
        <v>97077</v>
      </c>
      <c r="J32" s="171">
        <v>28679</v>
      </c>
      <c r="K32" s="171">
        <v>10173</v>
      </c>
      <c r="L32" s="171">
        <v>10897</v>
      </c>
      <c r="M32" s="173">
        <v>49749</v>
      </c>
    </row>
    <row r="33" spans="1:13" x14ac:dyDescent="0.25">
      <c r="A33" s="169" t="s">
        <v>269</v>
      </c>
      <c r="B33" s="170">
        <v>103167</v>
      </c>
      <c r="C33" s="171">
        <v>22438</v>
      </c>
      <c r="D33" s="171">
        <v>13301</v>
      </c>
      <c r="E33" s="172">
        <v>138906</v>
      </c>
      <c r="F33" s="170">
        <v>137665</v>
      </c>
      <c r="G33" s="171">
        <v>10995</v>
      </c>
      <c r="H33" s="171">
        <v>8063</v>
      </c>
      <c r="I33" s="172">
        <v>156723</v>
      </c>
      <c r="J33" s="171">
        <v>45341</v>
      </c>
      <c r="K33" s="171">
        <v>15213</v>
      </c>
      <c r="L33" s="171">
        <v>19357</v>
      </c>
      <c r="M33" s="173">
        <v>79911</v>
      </c>
    </row>
    <row r="34" spans="1:13" x14ac:dyDescent="0.25">
      <c r="A34" s="169" t="s">
        <v>270</v>
      </c>
      <c r="B34" s="170">
        <v>127174</v>
      </c>
      <c r="C34" s="171">
        <v>50857</v>
      </c>
      <c r="D34" s="171">
        <v>38783</v>
      </c>
      <c r="E34" s="172">
        <v>216814</v>
      </c>
      <c r="F34" s="170">
        <v>112241</v>
      </c>
      <c r="G34" s="171">
        <v>9275</v>
      </c>
      <c r="H34" s="171">
        <v>8844</v>
      </c>
      <c r="I34" s="172">
        <v>130360</v>
      </c>
      <c r="J34" s="171">
        <v>72076</v>
      </c>
      <c r="K34" s="171">
        <v>36883</v>
      </c>
      <c r="L34" s="171">
        <v>42466</v>
      </c>
      <c r="M34" s="173">
        <v>151425</v>
      </c>
    </row>
    <row r="35" spans="1:13" x14ac:dyDescent="0.25">
      <c r="A35" s="169" t="s">
        <v>271</v>
      </c>
      <c r="B35" s="170">
        <v>79192</v>
      </c>
      <c r="C35" s="171">
        <v>31504</v>
      </c>
      <c r="D35" s="171">
        <v>19842</v>
      </c>
      <c r="E35" s="172">
        <v>130538</v>
      </c>
      <c r="F35" s="170">
        <v>81250</v>
      </c>
      <c r="G35" s="171">
        <v>15682</v>
      </c>
      <c r="H35" s="171">
        <v>8749</v>
      </c>
      <c r="I35" s="172">
        <v>105681</v>
      </c>
      <c r="J35" s="171">
        <v>29126</v>
      </c>
      <c r="K35" s="171">
        <v>15746</v>
      </c>
      <c r="L35" s="171">
        <v>14160</v>
      </c>
      <c r="M35" s="173">
        <v>59032</v>
      </c>
    </row>
    <row r="36" spans="1:13" x14ac:dyDescent="0.25">
      <c r="A36" s="169" t="s">
        <v>272</v>
      </c>
      <c r="B36" s="170">
        <v>436887</v>
      </c>
      <c r="C36" s="171">
        <v>184467</v>
      </c>
      <c r="D36" s="171">
        <v>157581</v>
      </c>
      <c r="E36" s="172">
        <v>778935</v>
      </c>
      <c r="F36" s="170">
        <v>381425</v>
      </c>
      <c r="G36" s="171">
        <v>83659</v>
      </c>
      <c r="H36" s="171">
        <v>77022</v>
      </c>
      <c r="I36" s="172">
        <v>542106</v>
      </c>
      <c r="J36" s="171">
        <v>190989</v>
      </c>
      <c r="K36" s="171">
        <v>104021</v>
      </c>
      <c r="L36" s="171">
        <v>140737</v>
      </c>
      <c r="M36" s="173">
        <v>435747</v>
      </c>
    </row>
    <row r="37" spans="1:13" x14ac:dyDescent="0.25">
      <c r="A37" s="169" t="s">
        <v>273</v>
      </c>
      <c r="B37" s="170">
        <v>112585</v>
      </c>
      <c r="C37" s="171">
        <v>29228</v>
      </c>
      <c r="D37" s="171">
        <v>30085</v>
      </c>
      <c r="E37" s="172">
        <v>171898</v>
      </c>
      <c r="F37" s="170">
        <v>145000</v>
      </c>
      <c r="G37" s="171">
        <v>12036</v>
      </c>
      <c r="H37" s="171">
        <v>9284</v>
      </c>
      <c r="I37" s="172">
        <v>166320</v>
      </c>
      <c r="J37" s="171">
        <v>41027</v>
      </c>
      <c r="K37" s="171">
        <v>17958</v>
      </c>
      <c r="L37" s="171">
        <v>19664</v>
      </c>
      <c r="M37" s="173">
        <v>78649</v>
      </c>
    </row>
    <row r="38" spans="1:13" x14ac:dyDescent="0.25">
      <c r="A38" s="169" t="s">
        <v>274</v>
      </c>
      <c r="B38" s="170">
        <v>786298</v>
      </c>
      <c r="C38" s="171">
        <v>281033</v>
      </c>
      <c r="D38" s="171">
        <v>258277</v>
      </c>
      <c r="E38" s="172">
        <v>1325608</v>
      </c>
      <c r="F38" s="170">
        <v>907128</v>
      </c>
      <c r="G38" s="171">
        <v>143213</v>
      </c>
      <c r="H38" s="171">
        <v>136679</v>
      </c>
      <c r="I38" s="172">
        <v>1187020</v>
      </c>
      <c r="J38" s="171">
        <v>647916</v>
      </c>
      <c r="K38" s="171">
        <v>313830</v>
      </c>
      <c r="L38" s="171">
        <v>416035</v>
      </c>
      <c r="M38" s="173">
        <v>1377781</v>
      </c>
    </row>
    <row r="39" spans="1:13" x14ac:dyDescent="0.25">
      <c r="A39" s="169" t="s">
        <v>275</v>
      </c>
      <c r="B39" s="170">
        <v>539371</v>
      </c>
      <c r="C39" s="171">
        <v>165327</v>
      </c>
      <c r="D39" s="171">
        <v>122657</v>
      </c>
      <c r="E39" s="172">
        <v>827355</v>
      </c>
      <c r="F39" s="170">
        <v>587928</v>
      </c>
      <c r="G39" s="171">
        <v>53374</v>
      </c>
      <c r="H39" s="171">
        <v>40674</v>
      </c>
      <c r="I39" s="172">
        <v>681976</v>
      </c>
      <c r="J39" s="171">
        <v>222051</v>
      </c>
      <c r="K39" s="171">
        <v>87209</v>
      </c>
      <c r="L39" s="171">
        <v>102631</v>
      </c>
      <c r="M39" s="173">
        <v>411891</v>
      </c>
    </row>
    <row r="40" spans="1:13" x14ac:dyDescent="0.25">
      <c r="A40" s="169" t="s">
        <v>276</v>
      </c>
      <c r="B40" s="170">
        <v>29338</v>
      </c>
      <c r="C40" s="171">
        <v>5959</v>
      </c>
      <c r="D40" s="171">
        <v>2100</v>
      </c>
      <c r="E40" s="172">
        <v>37397</v>
      </c>
      <c r="F40" s="170">
        <v>70551</v>
      </c>
      <c r="G40" s="171">
        <v>2705</v>
      </c>
      <c r="H40" s="171">
        <v>3590</v>
      </c>
      <c r="I40" s="172">
        <v>76846</v>
      </c>
      <c r="J40" s="171">
        <v>24365</v>
      </c>
      <c r="K40" s="171">
        <v>4494</v>
      </c>
      <c r="L40" s="171">
        <v>7254</v>
      </c>
      <c r="M40" s="173">
        <v>36113</v>
      </c>
    </row>
    <row r="41" spans="1:13" x14ac:dyDescent="0.25">
      <c r="A41" s="169" t="s">
        <v>277</v>
      </c>
      <c r="B41" s="170">
        <v>727065</v>
      </c>
      <c r="C41" s="171">
        <v>195887</v>
      </c>
      <c r="D41" s="171">
        <v>131422</v>
      </c>
      <c r="E41" s="172">
        <v>1054374</v>
      </c>
      <c r="F41" s="170">
        <v>765419</v>
      </c>
      <c r="G41" s="171">
        <v>69598</v>
      </c>
      <c r="H41" s="171">
        <v>49169</v>
      </c>
      <c r="I41" s="172">
        <v>884186</v>
      </c>
      <c r="J41" s="171">
        <v>289637</v>
      </c>
      <c r="K41" s="171">
        <v>123286</v>
      </c>
      <c r="L41" s="171">
        <v>147253</v>
      </c>
      <c r="M41" s="173">
        <v>560176</v>
      </c>
    </row>
    <row r="42" spans="1:13" x14ac:dyDescent="0.25">
      <c r="A42" s="169" t="s">
        <v>278</v>
      </c>
      <c r="B42" s="170">
        <v>187796</v>
      </c>
      <c r="C42" s="171">
        <v>46800</v>
      </c>
      <c r="D42" s="171">
        <v>33832</v>
      </c>
      <c r="E42" s="172">
        <v>268428</v>
      </c>
      <c r="F42" s="170">
        <v>289746</v>
      </c>
      <c r="G42" s="171">
        <v>20104</v>
      </c>
      <c r="H42" s="171">
        <v>18035</v>
      </c>
      <c r="I42" s="172">
        <v>327885</v>
      </c>
      <c r="J42" s="171">
        <v>83350</v>
      </c>
      <c r="K42" s="171">
        <v>34916</v>
      </c>
      <c r="L42" s="171">
        <v>36110</v>
      </c>
      <c r="M42" s="173">
        <v>154376</v>
      </c>
    </row>
    <row r="43" spans="1:13" x14ac:dyDescent="0.25">
      <c r="A43" s="169" t="s">
        <v>279</v>
      </c>
      <c r="B43" s="170">
        <v>212622</v>
      </c>
      <c r="C43" s="171">
        <v>79292</v>
      </c>
      <c r="D43" s="171">
        <v>61116</v>
      </c>
      <c r="E43" s="172">
        <v>353030</v>
      </c>
      <c r="F43" s="170">
        <v>223064</v>
      </c>
      <c r="G43" s="171">
        <v>20496</v>
      </c>
      <c r="H43" s="171">
        <v>17250</v>
      </c>
      <c r="I43" s="172">
        <v>260810</v>
      </c>
      <c r="J43" s="171">
        <v>97057</v>
      </c>
      <c r="K43" s="171">
        <v>46713</v>
      </c>
      <c r="L43" s="171">
        <v>60796</v>
      </c>
      <c r="M43" s="173">
        <v>204566</v>
      </c>
    </row>
    <row r="44" spans="1:13" x14ac:dyDescent="0.25">
      <c r="A44" s="169" t="s">
        <v>280</v>
      </c>
      <c r="B44" s="170">
        <v>724456</v>
      </c>
      <c r="C44" s="171">
        <v>203819</v>
      </c>
      <c r="D44" s="171">
        <v>150404</v>
      </c>
      <c r="E44" s="172">
        <v>1078679</v>
      </c>
      <c r="F44" s="170">
        <v>931086</v>
      </c>
      <c r="G44" s="171">
        <v>112137</v>
      </c>
      <c r="H44" s="171">
        <v>77737</v>
      </c>
      <c r="I44" s="172">
        <v>1120960</v>
      </c>
      <c r="J44" s="171">
        <v>326628</v>
      </c>
      <c r="K44" s="171">
        <v>129356</v>
      </c>
      <c r="L44" s="171">
        <v>162050</v>
      </c>
      <c r="M44" s="173">
        <v>618034</v>
      </c>
    </row>
    <row r="45" spans="1:13" x14ac:dyDescent="0.25">
      <c r="A45" s="169" t="s">
        <v>281</v>
      </c>
      <c r="B45" s="170">
        <v>57744</v>
      </c>
      <c r="C45" s="171">
        <v>19670</v>
      </c>
      <c r="D45" s="171">
        <v>15471</v>
      </c>
      <c r="E45" s="172">
        <v>92885</v>
      </c>
      <c r="F45" s="170">
        <v>47018</v>
      </c>
      <c r="G45" s="171">
        <v>7836</v>
      </c>
      <c r="H45" s="171">
        <v>8358</v>
      </c>
      <c r="I45" s="172">
        <v>63212</v>
      </c>
      <c r="J45" s="171">
        <v>35328</v>
      </c>
      <c r="K45" s="171">
        <v>18799</v>
      </c>
      <c r="L45" s="171">
        <v>15390</v>
      </c>
      <c r="M45" s="173">
        <v>69517</v>
      </c>
    </row>
    <row r="46" spans="1:13" x14ac:dyDescent="0.25">
      <c r="A46" s="169" t="s">
        <v>282</v>
      </c>
      <c r="B46" s="170">
        <v>262524</v>
      </c>
      <c r="C46" s="171">
        <v>73020</v>
      </c>
      <c r="D46" s="171">
        <v>55956</v>
      </c>
      <c r="E46" s="172">
        <v>391500</v>
      </c>
      <c r="F46" s="170">
        <v>337906</v>
      </c>
      <c r="G46" s="171">
        <v>29852</v>
      </c>
      <c r="H46" s="171">
        <v>22953</v>
      </c>
      <c r="I46" s="172">
        <v>390711</v>
      </c>
      <c r="J46" s="171">
        <v>98184</v>
      </c>
      <c r="K46" s="171">
        <v>36292</v>
      </c>
      <c r="L46" s="171">
        <v>50193</v>
      </c>
      <c r="M46" s="173">
        <v>184669</v>
      </c>
    </row>
    <row r="47" spans="1:13" x14ac:dyDescent="0.25">
      <c r="A47" s="169" t="s">
        <v>283</v>
      </c>
      <c r="B47" s="170">
        <v>39652</v>
      </c>
      <c r="C47" s="171">
        <v>7913</v>
      </c>
      <c r="D47" s="171">
        <v>8103</v>
      </c>
      <c r="E47" s="172">
        <v>55668</v>
      </c>
      <c r="F47" s="170">
        <v>69459</v>
      </c>
      <c r="G47" s="171">
        <v>3795</v>
      </c>
      <c r="H47" s="171">
        <v>4718</v>
      </c>
      <c r="I47" s="172">
        <v>77972</v>
      </c>
      <c r="J47" s="171">
        <v>21568</v>
      </c>
      <c r="K47" s="171">
        <v>7461</v>
      </c>
      <c r="L47" s="171">
        <v>7460</v>
      </c>
      <c r="M47" s="173">
        <v>36489</v>
      </c>
    </row>
    <row r="48" spans="1:13" x14ac:dyDescent="0.25">
      <c r="A48" s="169" t="s">
        <v>284</v>
      </c>
      <c r="B48" s="170">
        <v>331537</v>
      </c>
      <c r="C48" s="171">
        <v>101960</v>
      </c>
      <c r="D48" s="171">
        <v>77528</v>
      </c>
      <c r="E48" s="172">
        <v>511025</v>
      </c>
      <c r="F48" s="170">
        <v>466738</v>
      </c>
      <c r="G48" s="171">
        <v>37379</v>
      </c>
      <c r="H48" s="171">
        <v>29521</v>
      </c>
      <c r="I48" s="172">
        <v>533638</v>
      </c>
      <c r="J48" s="171">
        <v>146331</v>
      </c>
      <c r="K48" s="171">
        <v>62369</v>
      </c>
      <c r="L48" s="171">
        <v>64442</v>
      </c>
      <c r="M48" s="173">
        <v>273142</v>
      </c>
    </row>
    <row r="49" spans="1:13" x14ac:dyDescent="0.25">
      <c r="A49" s="169" t="s">
        <v>285</v>
      </c>
      <c r="B49" s="170">
        <v>1078135</v>
      </c>
      <c r="C49" s="171">
        <v>275325</v>
      </c>
      <c r="D49" s="171">
        <v>201336</v>
      </c>
      <c r="E49" s="172">
        <v>1554796</v>
      </c>
      <c r="F49" s="170">
        <v>1456003</v>
      </c>
      <c r="G49" s="171">
        <v>132074</v>
      </c>
      <c r="H49" s="171">
        <v>115755</v>
      </c>
      <c r="I49" s="172">
        <v>1703832</v>
      </c>
      <c r="J49" s="171">
        <v>495557</v>
      </c>
      <c r="K49" s="171">
        <v>213324</v>
      </c>
      <c r="L49" s="171">
        <v>234263</v>
      </c>
      <c r="M49" s="173">
        <v>943144</v>
      </c>
    </row>
    <row r="50" spans="1:13" x14ac:dyDescent="0.25">
      <c r="A50" s="169" t="s">
        <v>286</v>
      </c>
      <c r="B50" s="170">
        <v>131455</v>
      </c>
      <c r="C50" s="171">
        <v>32616</v>
      </c>
      <c r="D50" s="171">
        <v>23010</v>
      </c>
      <c r="E50" s="172">
        <v>187081</v>
      </c>
      <c r="F50" s="170">
        <v>127448</v>
      </c>
      <c r="G50" s="171">
        <v>6498</v>
      </c>
      <c r="H50" s="171">
        <v>5111</v>
      </c>
      <c r="I50" s="172">
        <v>139057</v>
      </c>
      <c r="J50" s="171">
        <v>32029</v>
      </c>
      <c r="K50" s="171">
        <v>14677</v>
      </c>
      <c r="L50" s="171">
        <v>18645</v>
      </c>
      <c r="M50" s="173">
        <v>65351</v>
      </c>
    </row>
    <row r="51" spans="1:13" x14ac:dyDescent="0.25">
      <c r="A51" s="169" t="s">
        <v>287</v>
      </c>
      <c r="B51" s="170">
        <v>40762</v>
      </c>
      <c r="C51" s="171">
        <v>15813</v>
      </c>
      <c r="D51" s="171">
        <v>9563</v>
      </c>
      <c r="E51" s="172">
        <v>66138</v>
      </c>
      <c r="F51" s="170">
        <v>41567</v>
      </c>
      <c r="G51" s="171">
        <v>7489</v>
      </c>
      <c r="H51" s="171">
        <v>6688</v>
      </c>
      <c r="I51" s="172">
        <v>55744</v>
      </c>
      <c r="J51" s="171">
        <v>16564</v>
      </c>
      <c r="K51" s="171">
        <v>5513</v>
      </c>
      <c r="L51" s="171">
        <v>6274</v>
      </c>
      <c r="M51" s="173">
        <v>28351</v>
      </c>
    </row>
    <row r="52" spans="1:13" x14ac:dyDescent="0.25">
      <c r="A52" s="169" t="s">
        <v>288</v>
      </c>
      <c r="B52" s="170">
        <v>500553</v>
      </c>
      <c r="C52" s="171">
        <v>151897</v>
      </c>
      <c r="D52" s="171">
        <v>97508</v>
      </c>
      <c r="E52" s="172">
        <v>749958</v>
      </c>
      <c r="F52" s="170">
        <v>430745</v>
      </c>
      <c r="G52" s="171">
        <v>34446</v>
      </c>
      <c r="H52" s="171">
        <v>26508</v>
      </c>
      <c r="I52" s="172">
        <v>491699</v>
      </c>
      <c r="J52" s="171">
        <v>159283</v>
      </c>
      <c r="K52" s="171">
        <v>70579</v>
      </c>
      <c r="L52" s="171">
        <v>83020</v>
      </c>
      <c r="M52" s="173">
        <v>312882</v>
      </c>
    </row>
    <row r="53" spans="1:13" x14ac:dyDescent="0.25">
      <c r="A53" s="169" t="s">
        <v>289</v>
      </c>
      <c r="B53" s="170">
        <v>376365</v>
      </c>
      <c r="C53" s="171">
        <v>139605</v>
      </c>
      <c r="D53" s="171">
        <v>95404</v>
      </c>
      <c r="E53" s="172">
        <v>611374</v>
      </c>
      <c r="F53" s="170">
        <v>357973</v>
      </c>
      <c r="G53" s="171">
        <v>32436</v>
      </c>
      <c r="H53" s="171">
        <v>28735</v>
      </c>
      <c r="I53" s="172">
        <v>419144</v>
      </c>
      <c r="J53" s="171">
        <v>155816</v>
      </c>
      <c r="K53" s="171">
        <v>80220</v>
      </c>
      <c r="L53" s="171">
        <v>86847</v>
      </c>
      <c r="M53" s="173">
        <v>322883</v>
      </c>
    </row>
    <row r="54" spans="1:13" x14ac:dyDescent="0.25">
      <c r="A54" s="169" t="s">
        <v>290</v>
      </c>
      <c r="B54" s="170">
        <v>92454</v>
      </c>
      <c r="C54" s="171">
        <v>18697</v>
      </c>
      <c r="D54" s="171">
        <v>14269</v>
      </c>
      <c r="E54" s="172">
        <v>125420</v>
      </c>
      <c r="F54" s="170">
        <v>205685</v>
      </c>
      <c r="G54" s="171">
        <v>12043</v>
      </c>
      <c r="H54" s="171">
        <v>9712</v>
      </c>
      <c r="I54" s="172">
        <v>227440</v>
      </c>
      <c r="J54" s="171">
        <v>52824</v>
      </c>
      <c r="K54" s="171">
        <v>14942</v>
      </c>
      <c r="L54" s="171">
        <v>17529</v>
      </c>
      <c r="M54" s="173">
        <v>85295</v>
      </c>
    </row>
    <row r="55" spans="1:13" x14ac:dyDescent="0.25">
      <c r="A55" s="169" t="s">
        <v>291</v>
      </c>
      <c r="B55" s="170">
        <v>320122</v>
      </c>
      <c r="C55" s="171">
        <v>103899</v>
      </c>
      <c r="D55" s="171">
        <v>68569</v>
      </c>
      <c r="E55" s="172">
        <v>492590</v>
      </c>
      <c r="F55" s="170">
        <v>384046</v>
      </c>
      <c r="G55" s="171">
        <v>44346</v>
      </c>
      <c r="H55" s="171">
        <v>27129</v>
      </c>
      <c r="I55" s="172">
        <v>455521</v>
      </c>
      <c r="J55" s="171">
        <v>138521</v>
      </c>
      <c r="K55" s="171">
        <v>65609</v>
      </c>
      <c r="L55" s="171">
        <v>68580</v>
      </c>
      <c r="M55" s="173">
        <v>272710</v>
      </c>
    </row>
    <row r="56" spans="1:13" ht="15.75" thickBot="1" x14ac:dyDescent="0.3">
      <c r="A56" s="174" t="s">
        <v>292</v>
      </c>
      <c r="B56" s="175">
        <v>31291</v>
      </c>
      <c r="C56" s="176">
        <v>6897</v>
      </c>
      <c r="D56" s="176">
        <v>4797</v>
      </c>
      <c r="E56" s="177">
        <v>42985</v>
      </c>
      <c r="F56" s="175">
        <v>45431</v>
      </c>
      <c r="G56" s="176">
        <v>4149</v>
      </c>
      <c r="H56" s="176">
        <v>2552</v>
      </c>
      <c r="I56" s="177">
        <v>52132</v>
      </c>
      <c r="J56" s="176">
        <v>12155</v>
      </c>
      <c r="K56" s="176">
        <v>4995</v>
      </c>
      <c r="L56" s="176">
        <v>3374</v>
      </c>
      <c r="M56" s="178">
        <v>20524</v>
      </c>
    </row>
    <row r="58" spans="1:13" x14ac:dyDescent="0.25">
      <c r="A58" s="351" t="s">
        <v>293</v>
      </c>
      <c r="B58" s="351"/>
      <c r="C58" s="351"/>
      <c r="D58" s="351"/>
      <c r="E58" s="351"/>
      <c r="F58" s="351"/>
      <c r="G58" s="351"/>
      <c r="H58" s="351"/>
      <c r="I58" s="351"/>
      <c r="J58" s="351"/>
      <c r="K58" s="351"/>
      <c r="L58" s="351"/>
      <c r="M58" s="351"/>
    </row>
    <row r="59" spans="1:13" x14ac:dyDescent="0.25">
      <c r="A59" s="351"/>
      <c r="B59" s="351"/>
      <c r="C59" s="351"/>
      <c r="D59" s="351"/>
      <c r="E59" s="351"/>
      <c r="F59" s="351"/>
      <c r="G59" s="351"/>
      <c r="H59" s="351"/>
      <c r="I59" s="351"/>
      <c r="J59" s="351"/>
      <c r="K59" s="351"/>
      <c r="L59" s="351"/>
      <c r="M59" s="351"/>
    </row>
    <row r="60" spans="1:13" x14ac:dyDescent="0.25">
      <c r="A60" s="58" t="s">
        <v>109</v>
      </c>
    </row>
  </sheetData>
  <mergeCells count="5">
    <mergeCell ref="A58:M59"/>
    <mergeCell ref="A4:A5"/>
    <mergeCell ref="B4:E4"/>
    <mergeCell ref="F4:I4"/>
    <mergeCell ref="J4:M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85" zoomScaleNormal="85" workbookViewId="0"/>
  </sheetViews>
  <sheetFormatPr defaultRowHeight="15" x14ac:dyDescent="0.25"/>
  <cols>
    <col min="1" max="1" width="19.85546875" style="58" customWidth="1"/>
    <col min="2" max="2" width="9.7109375" style="58" customWidth="1"/>
    <col min="3" max="4" width="10.7109375" style="58" customWidth="1"/>
    <col min="5" max="5" width="9.7109375" style="58" customWidth="1"/>
    <col min="6" max="7" width="10.7109375" style="58" customWidth="1"/>
    <col min="8" max="8" width="9.7109375" style="58" customWidth="1"/>
    <col min="9" max="10" width="10.7109375" style="58" customWidth="1"/>
    <col min="11" max="16384" width="9.140625" style="58"/>
  </cols>
  <sheetData>
    <row r="1" spans="1:10" ht="15.75" x14ac:dyDescent="0.25">
      <c r="A1" s="217" t="s">
        <v>296</v>
      </c>
    </row>
    <row r="3" spans="1:10" ht="15.75" thickBot="1" x14ac:dyDescent="0.3">
      <c r="A3" s="329" t="s">
        <v>688</v>
      </c>
      <c r="B3" s="329"/>
      <c r="C3" s="329"/>
      <c r="D3" s="329"/>
      <c r="E3" s="329"/>
      <c r="F3" s="329"/>
      <c r="G3" s="329"/>
      <c r="H3" s="329"/>
      <c r="I3" s="329"/>
      <c r="J3" s="329"/>
    </row>
    <row r="4" spans="1:10" x14ac:dyDescent="0.25">
      <c r="A4" s="387"/>
      <c r="B4" s="418" t="s">
        <v>239</v>
      </c>
      <c r="C4" s="419"/>
      <c r="D4" s="420"/>
      <c r="E4" s="419" t="s">
        <v>240</v>
      </c>
      <c r="F4" s="419"/>
      <c r="G4" s="419"/>
      <c r="H4" s="418" t="s">
        <v>241</v>
      </c>
      <c r="I4" s="419"/>
      <c r="J4" s="421"/>
    </row>
    <row r="5" spans="1:10" ht="30" x14ac:dyDescent="0.25">
      <c r="A5" s="422"/>
      <c r="B5" s="179" t="s">
        <v>169</v>
      </c>
      <c r="C5" s="180" t="s">
        <v>170</v>
      </c>
      <c r="D5" s="181" t="s">
        <v>171</v>
      </c>
      <c r="E5" s="182" t="s">
        <v>169</v>
      </c>
      <c r="F5" s="180" t="s">
        <v>170</v>
      </c>
      <c r="G5" s="180" t="s">
        <v>171</v>
      </c>
      <c r="H5" s="179" t="s">
        <v>169</v>
      </c>
      <c r="I5" s="180" t="s">
        <v>170</v>
      </c>
      <c r="J5" s="183" t="s">
        <v>171</v>
      </c>
    </row>
    <row r="6" spans="1:10" x14ac:dyDescent="0.25">
      <c r="A6" s="169" t="s">
        <v>242</v>
      </c>
      <c r="B6" s="33">
        <v>68.005162085227511</v>
      </c>
      <c r="C6" s="184">
        <v>17.98524663296087</v>
      </c>
      <c r="D6" s="185">
        <v>14.009591281811614</v>
      </c>
      <c r="E6" s="184">
        <v>87.097395927596494</v>
      </c>
      <c r="F6" s="184">
        <v>7.0659467997339283</v>
      </c>
      <c r="G6" s="184">
        <v>5.83665727266958</v>
      </c>
      <c r="H6" s="33">
        <v>56.501968897059193</v>
      </c>
      <c r="I6" s="184">
        <v>20.964529128923072</v>
      </c>
      <c r="J6" s="186">
        <v>22.533501974017728</v>
      </c>
    </row>
    <row r="7" spans="1:10" x14ac:dyDescent="0.25">
      <c r="A7" s="169" t="s">
        <v>243</v>
      </c>
      <c r="B7" s="33">
        <v>66.593236484877352</v>
      </c>
      <c r="C7" s="184">
        <v>17.702627609748355</v>
      </c>
      <c r="D7" s="185">
        <v>15.704135905374294</v>
      </c>
      <c r="E7" s="184">
        <v>82.309150598788548</v>
      </c>
      <c r="F7" s="184">
        <v>9.6222314699218572</v>
      </c>
      <c r="G7" s="184">
        <v>8.0686179312895909</v>
      </c>
      <c r="H7" s="33">
        <v>59.308468695789308</v>
      </c>
      <c r="I7" s="184">
        <v>14.745308310991955</v>
      </c>
      <c r="J7" s="186">
        <v>25.946222993218736</v>
      </c>
    </row>
    <row r="8" spans="1:10" x14ac:dyDescent="0.25">
      <c r="A8" s="169" t="s">
        <v>244</v>
      </c>
      <c r="B8" s="33">
        <v>63.379019795422764</v>
      </c>
      <c r="C8" s="184">
        <v>21.451725660460667</v>
      </c>
      <c r="D8" s="185">
        <v>15.169254544116564</v>
      </c>
      <c r="E8" s="184">
        <v>86.226829478469668</v>
      </c>
      <c r="F8" s="184">
        <v>7.048449941891743</v>
      </c>
      <c r="G8" s="184">
        <v>6.7247205796385874</v>
      </c>
      <c r="H8" s="33">
        <v>48.770594971760026</v>
      </c>
      <c r="I8" s="184">
        <v>22.369675975989818</v>
      </c>
      <c r="J8" s="186">
        <v>28.859729052250156</v>
      </c>
    </row>
    <row r="9" spans="1:10" x14ac:dyDescent="0.25">
      <c r="A9" s="169" t="s">
        <v>245</v>
      </c>
      <c r="B9" s="33">
        <v>70.729035716926717</v>
      </c>
      <c r="C9" s="184">
        <v>17.130999038674847</v>
      </c>
      <c r="D9" s="185">
        <v>12.139965244398432</v>
      </c>
      <c r="E9" s="184">
        <v>89.857196826596137</v>
      </c>
      <c r="F9" s="184">
        <v>5.47072157159048</v>
      </c>
      <c r="G9" s="184">
        <v>4.6720816018133737</v>
      </c>
      <c r="H9" s="33">
        <v>55.838877427231346</v>
      </c>
      <c r="I9" s="184">
        <v>21.715076071922546</v>
      </c>
      <c r="J9" s="186">
        <v>22.446046500846101</v>
      </c>
    </row>
    <row r="10" spans="1:10" x14ac:dyDescent="0.25">
      <c r="A10" s="169" t="s">
        <v>246</v>
      </c>
      <c r="B10" s="33">
        <v>54.217849296410151</v>
      </c>
      <c r="C10" s="184">
        <v>24.178266657108356</v>
      </c>
      <c r="D10" s="185">
        <v>21.60388404648149</v>
      </c>
      <c r="E10" s="184">
        <v>84.105973263302104</v>
      </c>
      <c r="F10" s="184">
        <v>8.2197059656739686</v>
      </c>
      <c r="G10" s="184">
        <v>7.6743207710239254</v>
      </c>
      <c r="H10" s="33">
        <v>42.078920843363193</v>
      </c>
      <c r="I10" s="184">
        <v>24.956637326361449</v>
      </c>
      <c r="J10" s="186">
        <v>32.964441830275362</v>
      </c>
    </row>
    <row r="11" spans="1:10" x14ac:dyDescent="0.25">
      <c r="A11" s="169" t="s">
        <v>247</v>
      </c>
      <c r="B11" s="33">
        <v>64.652933432952636</v>
      </c>
      <c r="C11" s="184">
        <v>20.194048373965874</v>
      </c>
      <c r="D11" s="185">
        <v>15.153018193081479</v>
      </c>
      <c r="E11" s="184">
        <v>88.64552539639881</v>
      </c>
      <c r="F11" s="184">
        <v>6.1595637844948303</v>
      </c>
      <c r="G11" s="184">
        <v>5.1949108191063518</v>
      </c>
      <c r="H11" s="33">
        <v>49.126636513980962</v>
      </c>
      <c r="I11" s="184">
        <v>23.7116399216475</v>
      </c>
      <c r="J11" s="186">
        <v>27.161723564371538</v>
      </c>
    </row>
    <row r="12" spans="1:10" x14ac:dyDescent="0.25">
      <c r="A12" s="169" t="s">
        <v>248</v>
      </c>
      <c r="B12" s="33">
        <v>60.616722463124326</v>
      </c>
      <c r="C12" s="184">
        <v>21.770620664497567</v>
      </c>
      <c r="D12" s="185">
        <v>17.612656872378103</v>
      </c>
      <c r="E12" s="184">
        <v>75.413966125647178</v>
      </c>
      <c r="F12" s="184">
        <v>13.311686946134985</v>
      </c>
      <c r="G12" s="184">
        <v>11.274346928217833</v>
      </c>
      <c r="H12" s="33">
        <v>48.085020151757369</v>
      </c>
      <c r="I12" s="184">
        <v>22.580100421047892</v>
      </c>
      <c r="J12" s="186">
        <v>29.334879427194739</v>
      </c>
    </row>
    <row r="13" spans="1:10" x14ac:dyDescent="0.25">
      <c r="A13" s="169" t="s">
        <v>249</v>
      </c>
      <c r="B13" s="33">
        <v>63.631625461714513</v>
      </c>
      <c r="C13" s="184">
        <v>19.426001042398422</v>
      </c>
      <c r="D13" s="185">
        <v>16.942373495887058</v>
      </c>
      <c r="E13" s="184">
        <v>85.480718518288711</v>
      </c>
      <c r="F13" s="184">
        <v>7.1448515496540814</v>
      </c>
      <c r="G13" s="184">
        <v>7.3744299320572084</v>
      </c>
      <c r="H13" s="33">
        <v>52.118562512029477</v>
      </c>
      <c r="I13" s="184">
        <v>22.662157331793562</v>
      </c>
      <c r="J13" s="186">
        <v>25.219280156176964</v>
      </c>
    </row>
    <row r="14" spans="1:10" x14ac:dyDescent="0.25">
      <c r="A14" s="169" t="s">
        <v>250</v>
      </c>
      <c r="B14" s="33">
        <v>60.568168853394177</v>
      </c>
      <c r="C14" s="184">
        <v>18.952652595550486</v>
      </c>
      <c r="D14" s="185">
        <v>20.479178551055334</v>
      </c>
      <c r="E14" s="184">
        <v>82.068999075470785</v>
      </c>
      <c r="F14" s="184">
        <v>11.113814412923945</v>
      </c>
      <c r="G14" s="184">
        <v>6.817186511605275</v>
      </c>
      <c r="H14" s="33">
        <v>49.214639430516868</v>
      </c>
      <c r="I14" s="184">
        <v>19.073042401733208</v>
      </c>
      <c r="J14" s="186">
        <v>31.71231816774992</v>
      </c>
    </row>
    <row r="15" spans="1:10" x14ac:dyDescent="0.25">
      <c r="A15" s="169" t="s">
        <v>251</v>
      </c>
      <c r="B15" s="33">
        <v>55.105776052194919</v>
      </c>
      <c r="C15" s="184">
        <v>22.394602408494141</v>
      </c>
      <c r="D15" s="185">
        <v>22.499621539310937</v>
      </c>
      <c r="E15" s="184">
        <v>80.970986998973146</v>
      </c>
      <c r="F15" s="184">
        <v>9.9029957806956261</v>
      </c>
      <c r="G15" s="184">
        <v>9.126017220331228</v>
      </c>
      <c r="H15" s="33">
        <v>42.827037527715042</v>
      </c>
      <c r="I15" s="184">
        <v>23.910675755142012</v>
      </c>
      <c r="J15" s="186">
        <v>33.262286717142942</v>
      </c>
    </row>
    <row r="16" spans="1:10" x14ac:dyDescent="0.25">
      <c r="A16" s="169" t="s">
        <v>252</v>
      </c>
      <c r="B16" s="33">
        <v>63.249912856303226</v>
      </c>
      <c r="C16" s="184">
        <v>19.951708398108028</v>
      </c>
      <c r="D16" s="185">
        <v>16.798378745588749</v>
      </c>
      <c r="E16" s="184">
        <v>86.456100567808576</v>
      </c>
      <c r="F16" s="184">
        <v>7.1354911859190668</v>
      </c>
      <c r="G16" s="184">
        <v>6.4084082462723497</v>
      </c>
      <c r="H16" s="33">
        <v>49.661220350143104</v>
      </c>
      <c r="I16" s="184">
        <v>21.300372232812773</v>
      </c>
      <c r="J16" s="186">
        <v>29.03840741704412</v>
      </c>
    </row>
    <row r="17" spans="1:10" x14ac:dyDescent="0.25">
      <c r="A17" s="169" t="s">
        <v>253</v>
      </c>
      <c r="B17" s="33">
        <v>51.578452259081978</v>
      </c>
      <c r="C17" s="184">
        <v>25.3529959697129</v>
      </c>
      <c r="D17" s="185">
        <v>23.068551771205119</v>
      </c>
      <c r="E17" s="184">
        <v>84.932389807729223</v>
      </c>
      <c r="F17" s="184">
        <v>6.8103897528730899</v>
      </c>
      <c r="G17" s="184">
        <v>8.2572204393976794</v>
      </c>
      <c r="H17" s="33">
        <v>53.193980912231396</v>
      </c>
      <c r="I17" s="184">
        <v>21.339071374202238</v>
      </c>
      <c r="J17" s="186">
        <v>25.46694771356637</v>
      </c>
    </row>
    <row r="18" spans="1:10" x14ac:dyDescent="0.25">
      <c r="A18" s="169" t="s">
        <v>254</v>
      </c>
      <c r="B18" s="33">
        <v>66.971373233753468</v>
      </c>
      <c r="C18" s="184">
        <v>18.470206740715742</v>
      </c>
      <c r="D18" s="185">
        <v>14.558420025530792</v>
      </c>
      <c r="E18" s="184">
        <v>89.510527905125315</v>
      </c>
      <c r="F18" s="184">
        <v>5.151856223863251</v>
      </c>
      <c r="G18" s="184">
        <v>5.3376158710114296</v>
      </c>
      <c r="H18" s="33">
        <v>51.324112178021643</v>
      </c>
      <c r="I18" s="184">
        <v>26.762307575064774</v>
      </c>
      <c r="J18" s="186">
        <v>21.913580246913579</v>
      </c>
    </row>
    <row r="19" spans="1:10" x14ac:dyDescent="0.25">
      <c r="A19" s="169" t="s">
        <v>255</v>
      </c>
      <c r="B19" s="33">
        <v>62.298320958124243</v>
      </c>
      <c r="C19" s="184">
        <v>20.539910283639419</v>
      </c>
      <c r="D19" s="185">
        <v>17.161768758236342</v>
      </c>
      <c r="E19" s="184">
        <v>82.6520446721741</v>
      </c>
      <c r="F19" s="184">
        <v>9.1838932327207434</v>
      </c>
      <c r="G19" s="184">
        <v>8.1640620951051552</v>
      </c>
      <c r="H19" s="33">
        <v>48.011023244668102</v>
      </c>
      <c r="I19" s="184">
        <v>22.164622274143301</v>
      </c>
      <c r="J19" s="186">
        <v>29.824354481188593</v>
      </c>
    </row>
    <row r="20" spans="1:10" x14ac:dyDescent="0.25">
      <c r="A20" s="169" t="s">
        <v>256</v>
      </c>
      <c r="B20" s="33">
        <v>73.022873184011672</v>
      </c>
      <c r="C20" s="184">
        <v>16.347244955941346</v>
      </c>
      <c r="D20" s="185">
        <v>10.629881860046984</v>
      </c>
      <c r="E20" s="184">
        <v>88.389907858136297</v>
      </c>
      <c r="F20" s="184">
        <v>6.9760518080667593</v>
      </c>
      <c r="G20" s="184">
        <v>4.6340403337969409</v>
      </c>
      <c r="H20" s="33">
        <v>52.16283869834438</v>
      </c>
      <c r="I20" s="184">
        <v>22.405292217773003</v>
      </c>
      <c r="J20" s="186">
        <v>25.431869083882606</v>
      </c>
    </row>
    <row r="21" spans="1:10" x14ac:dyDescent="0.25">
      <c r="A21" s="169" t="s">
        <v>257</v>
      </c>
      <c r="B21" s="33">
        <v>73.571315465725789</v>
      </c>
      <c r="C21" s="184">
        <v>16.931053663725727</v>
      </c>
      <c r="D21" s="185">
        <v>9.4976308705484929</v>
      </c>
      <c r="E21" s="184">
        <v>88.30412162671621</v>
      </c>
      <c r="F21" s="184">
        <v>7.0402840515734564</v>
      </c>
      <c r="G21" s="184">
        <v>4.6555943217103417</v>
      </c>
      <c r="H21" s="33">
        <v>54.83416839362382</v>
      </c>
      <c r="I21" s="184">
        <v>21.3854131143814</v>
      </c>
      <c r="J21" s="186">
        <v>23.780418491994791</v>
      </c>
    </row>
    <row r="22" spans="1:10" x14ac:dyDescent="0.25">
      <c r="A22" s="169" t="s">
        <v>258</v>
      </c>
      <c r="B22" s="33">
        <v>72.149599756630238</v>
      </c>
      <c r="C22" s="184">
        <v>17.835916110079413</v>
      </c>
      <c r="D22" s="185">
        <v>10.014484133290349</v>
      </c>
      <c r="E22" s="184">
        <v>87.939078296643174</v>
      </c>
      <c r="F22" s="184">
        <v>7.5771368550045963</v>
      </c>
      <c r="G22" s="184">
        <v>4.4837848483522258</v>
      </c>
      <c r="H22" s="33">
        <v>58.639231959142577</v>
      </c>
      <c r="I22" s="184">
        <v>21.371571684631814</v>
      </c>
      <c r="J22" s="186">
        <v>19.989196356225598</v>
      </c>
    </row>
    <row r="23" spans="1:10" x14ac:dyDescent="0.25">
      <c r="A23" s="169" t="s">
        <v>259</v>
      </c>
      <c r="B23" s="33">
        <v>68.746744986211553</v>
      </c>
      <c r="C23" s="184">
        <v>18.516368272615765</v>
      </c>
      <c r="D23" s="185">
        <v>12.736886741172688</v>
      </c>
      <c r="E23" s="184">
        <v>87.946056013619526</v>
      </c>
      <c r="F23" s="184">
        <v>6.5774832815925057</v>
      </c>
      <c r="G23" s="184">
        <v>5.4764607047879741</v>
      </c>
      <c r="H23" s="33">
        <v>56.898782265848006</v>
      </c>
      <c r="I23" s="184">
        <v>21.212805716984619</v>
      </c>
      <c r="J23" s="186">
        <v>21.888412017167383</v>
      </c>
    </row>
    <row r="24" spans="1:10" x14ac:dyDescent="0.25">
      <c r="A24" s="169" t="s">
        <v>260</v>
      </c>
      <c r="B24" s="33">
        <v>67.513402442076426</v>
      </c>
      <c r="C24" s="184">
        <v>17.899998682806675</v>
      </c>
      <c r="D24" s="185">
        <v>14.586598875116902</v>
      </c>
      <c r="E24" s="184">
        <v>88.658787593747306</v>
      </c>
      <c r="F24" s="184">
        <v>6.2203207258052284</v>
      </c>
      <c r="G24" s="184">
        <v>5.1208916804474587</v>
      </c>
      <c r="H24" s="33">
        <v>54.189069769917907</v>
      </c>
      <c r="I24" s="184">
        <v>20.006814092394833</v>
      </c>
      <c r="J24" s="186">
        <v>25.804116137687256</v>
      </c>
    </row>
    <row r="25" spans="1:10" x14ac:dyDescent="0.25">
      <c r="A25" s="169" t="s">
        <v>261</v>
      </c>
      <c r="B25" s="33">
        <v>63.168191075456413</v>
      </c>
      <c r="C25" s="184">
        <v>20.009781521683589</v>
      </c>
      <c r="D25" s="185">
        <v>16.822027402860002</v>
      </c>
      <c r="E25" s="184">
        <v>83.248607693303981</v>
      </c>
      <c r="F25" s="184">
        <v>8.7763890687734758</v>
      </c>
      <c r="G25" s="184">
        <v>7.9750032379225484</v>
      </c>
      <c r="H25" s="33">
        <v>49.407399457230035</v>
      </c>
      <c r="I25" s="184">
        <v>24.27592339890526</v>
      </c>
      <c r="J25" s="186">
        <v>26.316677143864709</v>
      </c>
    </row>
    <row r="26" spans="1:10" x14ac:dyDescent="0.25">
      <c r="A26" s="169" t="s">
        <v>262</v>
      </c>
      <c r="B26" s="33">
        <v>65.962895555276617</v>
      </c>
      <c r="C26" s="184">
        <v>19.682405199224579</v>
      </c>
      <c r="D26" s="185">
        <v>14.354699245498795</v>
      </c>
      <c r="E26" s="184">
        <v>83.555760233076526</v>
      </c>
      <c r="F26" s="184">
        <v>9.0090090090090094</v>
      </c>
      <c r="G26" s="184">
        <v>7.4352307579144643</v>
      </c>
      <c r="H26" s="33">
        <v>51.473665023537428</v>
      </c>
      <c r="I26" s="184">
        <v>21.329904423768841</v>
      </c>
      <c r="J26" s="186">
        <v>27.19643055269373</v>
      </c>
    </row>
    <row r="27" spans="1:10" x14ac:dyDescent="0.25">
      <c r="A27" s="169" t="s">
        <v>263</v>
      </c>
      <c r="B27" s="33">
        <v>62.443659112037395</v>
      </c>
      <c r="C27" s="184">
        <v>20.595342374724378</v>
      </c>
      <c r="D27" s="185">
        <v>16.96099851323822</v>
      </c>
      <c r="E27" s="184">
        <v>76.870270968591754</v>
      </c>
      <c r="F27" s="184">
        <v>13.650261292046743</v>
      </c>
      <c r="G27" s="184">
        <v>9.4794677393614997</v>
      </c>
      <c r="H27" s="33">
        <v>49.900571085700022</v>
      </c>
      <c r="I27" s="184">
        <v>23.016001550506967</v>
      </c>
      <c r="J27" s="186">
        <v>27.083427363793007</v>
      </c>
    </row>
    <row r="28" spans="1:10" x14ac:dyDescent="0.25">
      <c r="A28" s="169" t="s">
        <v>264</v>
      </c>
      <c r="B28" s="33">
        <v>65.182425215678165</v>
      </c>
      <c r="C28" s="184">
        <v>19.483079454625898</v>
      </c>
      <c r="D28" s="185">
        <v>15.334495329695935</v>
      </c>
      <c r="E28" s="184">
        <v>84.021100635235726</v>
      </c>
      <c r="F28" s="184">
        <v>8.5337773300174717</v>
      </c>
      <c r="G28" s="184">
        <v>7.4451220347468077</v>
      </c>
      <c r="H28" s="33">
        <v>47.167791037873378</v>
      </c>
      <c r="I28" s="184">
        <v>25.006535093451838</v>
      </c>
      <c r="J28" s="186">
        <v>27.825673868674784</v>
      </c>
    </row>
    <row r="29" spans="1:10" x14ac:dyDescent="0.25">
      <c r="A29" s="169" t="s">
        <v>265</v>
      </c>
      <c r="B29" s="33">
        <v>69.988295437299513</v>
      </c>
      <c r="C29" s="184">
        <v>17.635428858919479</v>
      </c>
      <c r="D29" s="185">
        <v>12.37627570378101</v>
      </c>
      <c r="E29" s="184">
        <v>87.433077576745561</v>
      </c>
      <c r="F29" s="184">
        <v>7.6338014909362082</v>
      </c>
      <c r="G29" s="184">
        <v>4.9331209323182348</v>
      </c>
      <c r="H29" s="33">
        <v>47.453485547728931</v>
      </c>
      <c r="I29" s="184">
        <v>26.254068496478016</v>
      </c>
      <c r="J29" s="186">
        <v>26.292445955793053</v>
      </c>
    </row>
    <row r="30" spans="1:10" x14ac:dyDescent="0.25">
      <c r="A30" s="169" t="s">
        <v>266</v>
      </c>
      <c r="B30" s="33">
        <v>66.123753671650292</v>
      </c>
      <c r="C30" s="184">
        <v>18.05435566984114</v>
      </c>
      <c r="D30" s="185">
        <v>15.821890658508572</v>
      </c>
      <c r="E30" s="184">
        <v>84.988400672361649</v>
      </c>
      <c r="F30" s="184">
        <v>8.2839892973965945</v>
      </c>
      <c r="G30" s="184">
        <v>6.7276100302417525</v>
      </c>
      <c r="H30" s="33">
        <v>58.258007898200972</v>
      </c>
      <c r="I30" s="184">
        <v>22.279069767441861</v>
      </c>
      <c r="J30" s="186">
        <v>19.462922334357174</v>
      </c>
    </row>
    <row r="31" spans="1:10" x14ac:dyDescent="0.25">
      <c r="A31" s="169" t="s">
        <v>267</v>
      </c>
      <c r="B31" s="33">
        <v>68.446828037394198</v>
      </c>
      <c r="C31" s="184">
        <v>18.62576127692105</v>
      </c>
      <c r="D31" s="185">
        <v>12.927410685684752</v>
      </c>
      <c r="E31" s="184">
        <v>86.809856155182018</v>
      </c>
      <c r="F31" s="184">
        <v>7.7820374193125597</v>
      </c>
      <c r="G31" s="184">
        <v>5.408106425505423</v>
      </c>
      <c r="H31" s="33">
        <v>52.691140147444237</v>
      </c>
      <c r="I31" s="184">
        <v>22.757320361257236</v>
      </c>
      <c r="J31" s="186">
        <v>24.551539491298527</v>
      </c>
    </row>
    <row r="32" spans="1:10" x14ac:dyDescent="0.25">
      <c r="A32" s="169" t="s">
        <v>268</v>
      </c>
      <c r="B32" s="33">
        <v>64.279707899977865</v>
      </c>
      <c r="C32" s="184">
        <v>19.72339013055986</v>
      </c>
      <c r="D32" s="185">
        <v>15.996901969462272</v>
      </c>
      <c r="E32" s="184">
        <v>88.095017357355502</v>
      </c>
      <c r="F32" s="184">
        <v>6.9037980160079115</v>
      </c>
      <c r="G32" s="184">
        <v>5.0011846266365874</v>
      </c>
      <c r="H32" s="33">
        <v>57.647389897284363</v>
      </c>
      <c r="I32" s="184">
        <v>20.448652234215764</v>
      </c>
      <c r="J32" s="186">
        <v>21.903957868499869</v>
      </c>
    </row>
    <row r="33" spans="1:10" x14ac:dyDescent="0.25">
      <c r="A33" s="169" t="s">
        <v>269</v>
      </c>
      <c r="B33" s="33">
        <v>74.271089801736423</v>
      </c>
      <c r="C33" s="184">
        <v>16.153369904827724</v>
      </c>
      <c r="D33" s="185">
        <v>9.5755402934358482</v>
      </c>
      <c r="E33" s="184">
        <v>87.839691685330166</v>
      </c>
      <c r="F33" s="184">
        <v>7.015562489232595</v>
      </c>
      <c r="G33" s="184">
        <v>5.1447458254372362</v>
      </c>
      <c r="H33" s="33">
        <v>56.73937255196406</v>
      </c>
      <c r="I33" s="184">
        <v>19.037429139918157</v>
      </c>
      <c r="J33" s="186">
        <v>24.22319830811778</v>
      </c>
    </row>
    <row r="34" spans="1:10" x14ac:dyDescent="0.25">
      <c r="A34" s="169" t="s">
        <v>270</v>
      </c>
      <c r="B34" s="33">
        <v>58.655806359367936</v>
      </c>
      <c r="C34" s="184">
        <v>23.456511110906124</v>
      </c>
      <c r="D34" s="185">
        <v>17.887682529725939</v>
      </c>
      <c r="E34" s="184">
        <v>86.100797790733353</v>
      </c>
      <c r="F34" s="184">
        <v>7.1149125498619208</v>
      </c>
      <c r="G34" s="184">
        <v>6.7842896594047257</v>
      </c>
      <c r="H34" s="33">
        <v>47.598481096252272</v>
      </c>
      <c r="I34" s="184">
        <v>24.357272577183426</v>
      </c>
      <c r="J34" s="186">
        <v>28.044246326564306</v>
      </c>
    </row>
    <row r="35" spans="1:10" x14ac:dyDescent="0.25">
      <c r="A35" s="169" t="s">
        <v>271</v>
      </c>
      <c r="B35" s="33">
        <v>60.665859749651439</v>
      </c>
      <c r="C35" s="184">
        <v>24.133968652806079</v>
      </c>
      <c r="D35" s="185">
        <v>15.200171597542479</v>
      </c>
      <c r="E35" s="184">
        <v>76.882315648035132</v>
      </c>
      <c r="F35" s="184">
        <v>14.838996602984453</v>
      </c>
      <c r="G35" s="184">
        <v>8.2786877489804223</v>
      </c>
      <c r="H35" s="33">
        <v>49.33934137416994</v>
      </c>
      <c r="I35" s="184">
        <v>26.673668518769482</v>
      </c>
      <c r="J35" s="186">
        <v>23.986990107060578</v>
      </c>
    </row>
    <row r="36" spans="1:10" x14ac:dyDescent="0.25">
      <c r="A36" s="169" t="s">
        <v>272</v>
      </c>
      <c r="B36" s="33">
        <v>56.087735176876116</v>
      </c>
      <c r="C36" s="184">
        <v>23.681950355292802</v>
      </c>
      <c r="D36" s="185">
        <v>20.230314467831075</v>
      </c>
      <c r="E36" s="184">
        <v>70.3598558215552</v>
      </c>
      <c r="F36" s="184">
        <v>15.432221742611224</v>
      </c>
      <c r="G36" s="184">
        <v>14.207922435833584</v>
      </c>
      <c r="H36" s="33">
        <v>43.830250122203942</v>
      </c>
      <c r="I36" s="184">
        <v>23.871879783452325</v>
      </c>
      <c r="J36" s="186">
        <v>32.297870094343736</v>
      </c>
    </row>
    <row r="37" spans="1:10" x14ac:dyDescent="0.25">
      <c r="A37" s="169" t="s">
        <v>273</v>
      </c>
      <c r="B37" s="33">
        <v>65.495235546661391</v>
      </c>
      <c r="C37" s="184">
        <v>17.003106493385612</v>
      </c>
      <c r="D37" s="185">
        <v>17.501657959952997</v>
      </c>
      <c r="E37" s="184">
        <v>87.181337181337184</v>
      </c>
      <c r="F37" s="184">
        <v>7.2366522366522368</v>
      </c>
      <c r="G37" s="184">
        <v>5.5820105820105814</v>
      </c>
      <c r="H37" s="33">
        <v>52.164681051253034</v>
      </c>
      <c r="I37" s="184">
        <v>22.833093872776512</v>
      </c>
      <c r="J37" s="186">
        <v>25.002225075970451</v>
      </c>
    </row>
    <row r="38" spans="1:10" x14ac:dyDescent="0.25">
      <c r="A38" s="169" t="s">
        <v>274</v>
      </c>
      <c r="B38" s="33">
        <v>59.316027060790219</v>
      </c>
      <c r="C38" s="184">
        <v>21.200309593786397</v>
      </c>
      <c r="D38" s="185">
        <v>19.483663345423384</v>
      </c>
      <c r="E38" s="184">
        <v>76.420616333338955</v>
      </c>
      <c r="F38" s="184">
        <v>12.064918872470557</v>
      </c>
      <c r="G38" s="184">
        <v>11.514464794190493</v>
      </c>
      <c r="H38" s="33">
        <v>47.026051310041289</v>
      </c>
      <c r="I38" s="184">
        <v>22.777930600001017</v>
      </c>
      <c r="J38" s="186">
        <v>30.196018089957693</v>
      </c>
    </row>
    <row r="39" spans="1:10" x14ac:dyDescent="0.25">
      <c r="A39" s="169" t="s">
        <v>275</v>
      </c>
      <c r="B39" s="33">
        <v>65.192208906696649</v>
      </c>
      <c r="C39" s="184">
        <v>19.982595137516544</v>
      </c>
      <c r="D39" s="185">
        <v>14.825195955786816</v>
      </c>
      <c r="E39" s="184">
        <v>86.20948537778456</v>
      </c>
      <c r="F39" s="184">
        <v>7.8263751217051629</v>
      </c>
      <c r="G39" s="184">
        <v>5.9641395005102824</v>
      </c>
      <c r="H39" s="33">
        <v>53.910136419586742</v>
      </c>
      <c r="I39" s="184">
        <v>21.172834560599771</v>
      </c>
      <c r="J39" s="186">
        <v>24.917029019813494</v>
      </c>
    </row>
    <row r="40" spans="1:10" x14ac:dyDescent="0.25">
      <c r="A40" s="169" t="s">
        <v>276</v>
      </c>
      <c r="B40" s="33">
        <v>78.450143059603718</v>
      </c>
      <c r="C40" s="184">
        <v>15.934433243308288</v>
      </c>
      <c r="D40" s="185">
        <v>5.6154236970880023</v>
      </c>
      <c r="E40" s="184">
        <v>91.808291908492308</v>
      </c>
      <c r="F40" s="184">
        <v>3.5200270671212555</v>
      </c>
      <c r="G40" s="184">
        <v>4.6716810243864346</v>
      </c>
      <c r="H40" s="33">
        <v>67.4687785561986</v>
      </c>
      <c r="I40" s="184">
        <v>12.444272145764684</v>
      </c>
      <c r="J40" s="186">
        <v>20.086949298036718</v>
      </c>
    </row>
    <row r="41" spans="1:10" x14ac:dyDescent="0.25">
      <c r="A41" s="169" t="s">
        <v>277</v>
      </c>
      <c r="B41" s="33">
        <v>68.957030427533311</v>
      </c>
      <c r="C41" s="184">
        <v>18.578511989104435</v>
      </c>
      <c r="D41" s="185">
        <v>12.464457583362261</v>
      </c>
      <c r="E41" s="184">
        <v>86.567645269208057</v>
      </c>
      <c r="F41" s="184">
        <v>7.8714207191699481</v>
      </c>
      <c r="G41" s="184">
        <v>5.5609340116219892</v>
      </c>
      <c r="H41" s="33">
        <v>51.704642826540223</v>
      </c>
      <c r="I41" s="184">
        <v>22.008440204507153</v>
      </c>
      <c r="J41" s="186">
        <v>26.286916968952617</v>
      </c>
    </row>
    <row r="42" spans="1:10" x14ac:dyDescent="0.25">
      <c r="A42" s="169" t="s">
        <v>278</v>
      </c>
      <c r="B42" s="33">
        <v>69.961404920500087</v>
      </c>
      <c r="C42" s="184">
        <v>17.434842862890605</v>
      </c>
      <c r="D42" s="185">
        <v>12.603752216609296</v>
      </c>
      <c r="E42" s="184">
        <v>88.368177867240036</v>
      </c>
      <c r="F42" s="184">
        <v>6.1314180276621375</v>
      </c>
      <c r="G42" s="184">
        <v>5.5004041050978243</v>
      </c>
      <c r="H42" s="33">
        <v>53.991553091154067</v>
      </c>
      <c r="I42" s="184">
        <v>22.617505311706481</v>
      </c>
      <c r="J42" s="186">
        <v>23.390941597139452</v>
      </c>
    </row>
    <row r="43" spans="1:10" x14ac:dyDescent="0.25">
      <c r="A43" s="169" t="s">
        <v>279</v>
      </c>
      <c r="B43" s="33">
        <v>60.227742684757665</v>
      </c>
      <c r="C43" s="184">
        <v>22.460414129110838</v>
      </c>
      <c r="D43" s="185">
        <v>17.31184318613149</v>
      </c>
      <c r="E43" s="184">
        <v>85.527395421954679</v>
      </c>
      <c r="F43" s="184">
        <v>7.8585943790498822</v>
      </c>
      <c r="G43" s="184">
        <v>6.6140101989954374</v>
      </c>
      <c r="H43" s="33">
        <v>47.445323269751569</v>
      </c>
      <c r="I43" s="184">
        <v>22.83517300040085</v>
      </c>
      <c r="J43" s="186">
        <v>29.719503729847581</v>
      </c>
    </row>
    <row r="44" spans="1:10" x14ac:dyDescent="0.25">
      <c r="A44" s="169" t="s">
        <v>280</v>
      </c>
      <c r="B44" s="33">
        <v>67.161407610605195</v>
      </c>
      <c r="C44" s="184">
        <v>18.895241309045602</v>
      </c>
      <c r="D44" s="185">
        <v>13.943351080349206</v>
      </c>
      <c r="E44" s="184">
        <v>83.061483014558945</v>
      </c>
      <c r="F44" s="184">
        <v>10.003657579217814</v>
      </c>
      <c r="G44" s="184">
        <v>6.9348594062232376</v>
      </c>
      <c r="H44" s="33">
        <v>52.849519605717489</v>
      </c>
      <c r="I44" s="184">
        <v>20.930240083878882</v>
      </c>
      <c r="J44" s="186">
        <v>26.220240310403636</v>
      </c>
    </row>
    <row r="45" spans="1:10" x14ac:dyDescent="0.25">
      <c r="A45" s="169" t="s">
        <v>281</v>
      </c>
      <c r="B45" s="33">
        <v>62.167195995047642</v>
      </c>
      <c r="C45" s="184">
        <v>21.176723905905153</v>
      </c>
      <c r="D45" s="185">
        <v>16.656080099047209</v>
      </c>
      <c r="E45" s="184">
        <v>74.381446560779594</v>
      </c>
      <c r="F45" s="184">
        <v>12.396380434094793</v>
      </c>
      <c r="G45" s="184">
        <v>13.22217300512561</v>
      </c>
      <c r="H45" s="33">
        <v>50.819224074686765</v>
      </c>
      <c r="I45" s="184">
        <v>27.042306198483821</v>
      </c>
      <c r="J45" s="186">
        <v>22.138469726829406</v>
      </c>
    </row>
    <row r="46" spans="1:10" x14ac:dyDescent="0.25">
      <c r="A46" s="169" t="s">
        <v>282</v>
      </c>
      <c r="B46" s="33">
        <v>67.055938697318012</v>
      </c>
      <c r="C46" s="184">
        <v>18.651340996168582</v>
      </c>
      <c r="D46" s="185">
        <v>14.292720306513409</v>
      </c>
      <c r="E46" s="184">
        <v>86.484895485409936</v>
      </c>
      <c r="F46" s="184">
        <v>7.640429882956969</v>
      </c>
      <c r="G46" s="184">
        <v>5.8746746316331002</v>
      </c>
      <c r="H46" s="33">
        <v>53.16755925466645</v>
      </c>
      <c r="I46" s="184">
        <v>19.652459264955134</v>
      </c>
      <c r="J46" s="186">
        <v>27.179981480378405</v>
      </c>
    </row>
    <row r="47" spans="1:10" x14ac:dyDescent="0.25">
      <c r="A47" s="169" t="s">
        <v>283</v>
      </c>
      <c r="B47" s="33">
        <v>71.22943163038012</v>
      </c>
      <c r="C47" s="184">
        <v>14.214629589710427</v>
      </c>
      <c r="D47" s="185">
        <v>14.555938779909464</v>
      </c>
      <c r="E47" s="184">
        <v>89.081978146001134</v>
      </c>
      <c r="F47" s="184">
        <v>4.8671317908992968</v>
      </c>
      <c r="G47" s="184">
        <v>6.0508900630995743</v>
      </c>
      <c r="H47" s="33">
        <v>59.108224396393439</v>
      </c>
      <c r="I47" s="184">
        <v>20.447258077776866</v>
      </c>
      <c r="J47" s="186">
        <v>20.444517525829703</v>
      </c>
    </row>
    <row r="48" spans="1:10" x14ac:dyDescent="0.25">
      <c r="A48" s="169" t="s">
        <v>284</v>
      </c>
      <c r="B48" s="33">
        <v>64.876865124015453</v>
      </c>
      <c r="C48" s="184">
        <v>19.95205714006164</v>
      </c>
      <c r="D48" s="185">
        <v>15.1710777359229</v>
      </c>
      <c r="E48" s="184">
        <v>87.463411526165686</v>
      </c>
      <c r="F48" s="184">
        <v>7.0045611444462352</v>
      </c>
      <c r="G48" s="184">
        <v>5.5320273293880868</v>
      </c>
      <c r="H48" s="33">
        <v>53.573232970396354</v>
      </c>
      <c r="I48" s="184">
        <v>22.833910566664958</v>
      </c>
      <c r="J48" s="186">
        <v>23.592856462938691</v>
      </c>
    </row>
    <row r="49" spans="1:13" x14ac:dyDescent="0.25">
      <c r="A49" s="169" t="s">
        <v>285</v>
      </c>
      <c r="B49" s="33">
        <v>69.342537541902601</v>
      </c>
      <c r="C49" s="184">
        <v>17.708110903295353</v>
      </c>
      <c r="D49" s="185">
        <v>12.949351554802044</v>
      </c>
      <c r="E49" s="184">
        <v>85.454610548457836</v>
      </c>
      <c r="F49" s="184">
        <v>7.7515858371013104</v>
      </c>
      <c r="G49" s="184">
        <v>6.7938036144408604</v>
      </c>
      <c r="H49" s="33">
        <v>52.543089920521147</v>
      </c>
      <c r="I49" s="184">
        <v>22.618391253085424</v>
      </c>
      <c r="J49" s="186">
        <v>24.838518826393425</v>
      </c>
    </row>
    <row r="50" spans="1:13" x14ac:dyDescent="0.25">
      <c r="A50" s="169" t="s">
        <v>286</v>
      </c>
      <c r="B50" s="33">
        <v>70.266355215120726</v>
      </c>
      <c r="C50" s="184">
        <v>17.434159535174604</v>
      </c>
      <c r="D50" s="185">
        <v>12.299485249704674</v>
      </c>
      <c r="E50" s="184">
        <v>91.651624873253411</v>
      </c>
      <c r="F50" s="184">
        <v>4.6729039170987443</v>
      </c>
      <c r="G50" s="184">
        <v>3.6754712096478426</v>
      </c>
      <c r="H50" s="33">
        <v>49.010726691251854</v>
      </c>
      <c r="I50" s="184">
        <v>22.45872289635966</v>
      </c>
      <c r="J50" s="186">
        <v>28.530550412388489</v>
      </c>
    </row>
    <row r="51" spans="1:13" x14ac:dyDescent="0.25">
      <c r="A51" s="169" t="s">
        <v>287</v>
      </c>
      <c r="B51" s="33">
        <v>61.631739695787587</v>
      </c>
      <c r="C51" s="184">
        <v>23.909099156309534</v>
      </c>
      <c r="D51" s="185">
        <v>14.459161147902869</v>
      </c>
      <c r="E51" s="184">
        <v>74.567666475315733</v>
      </c>
      <c r="F51" s="184">
        <v>13.434629735935705</v>
      </c>
      <c r="G51" s="184">
        <v>11.997703788748565</v>
      </c>
      <c r="H51" s="33">
        <v>58.42474692250714</v>
      </c>
      <c r="I51" s="184">
        <v>19.445522203802334</v>
      </c>
      <c r="J51" s="186">
        <v>22.129730873690523</v>
      </c>
    </row>
    <row r="52" spans="1:13" x14ac:dyDescent="0.25">
      <c r="A52" s="169" t="s">
        <v>288</v>
      </c>
      <c r="B52" s="33">
        <v>66.744137671709609</v>
      </c>
      <c r="C52" s="184">
        <v>20.254067561116756</v>
      </c>
      <c r="D52" s="185">
        <v>13.001794767173628</v>
      </c>
      <c r="E52" s="184">
        <v>87.603391505778944</v>
      </c>
      <c r="F52" s="184">
        <v>7.0055054006617867</v>
      </c>
      <c r="G52" s="184">
        <v>5.3911030935592716</v>
      </c>
      <c r="H52" s="33">
        <v>50.908329657826265</v>
      </c>
      <c r="I52" s="184">
        <v>22.557705460844662</v>
      </c>
      <c r="J52" s="186">
        <v>26.533964881329062</v>
      </c>
    </row>
    <row r="53" spans="1:13" x14ac:dyDescent="0.25">
      <c r="A53" s="169" t="s">
        <v>289</v>
      </c>
      <c r="B53" s="33">
        <v>61.560517784531235</v>
      </c>
      <c r="C53" s="184">
        <v>22.834631502157436</v>
      </c>
      <c r="D53" s="185">
        <v>15.604850713311327</v>
      </c>
      <c r="E53" s="184">
        <v>85.405731681713206</v>
      </c>
      <c r="F53" s="184">
        <v>7.7386292061916659</v>
      </c>
      <c r="G53" s="184">
        <v>6.855639112095127</v>
      </c>
      <c r="H53" s="33">
        <v>48.257728031516059</v>
      </c>
      <c r="I53" s="184">
        <v>24.844912863173345</v>
      </c>
      <c r="J53" s="186">
        <v>26.897359105310592</v>
      </c>
    </row>
    <row r="54" spans="1:13" x14ac:dyDescent="0.25">
      <c r="A54" s="169" t="s">
        <v>290</v>
      </c>
      <c r="B54" s="33">
        <v>73.715515866687937</v>
      </c>
      <c r="C54" s="184">
        <v>14.907510763833521</v>
      </c>
      <c r="D54" s="185">
        <v>11.376973369478552</v>
      </c>
      <c r="E54" s="184">
        <v>90.43483995779107</v>
      </c>
      <c r="F54" s="184">
        <v>5.2950228631727043</v>
      </c>
      <c r="G54" s="184">
        <v>4.2701371790362295</v>
      </c>
      <c r="H54" s="33">
        <v>61.93094554194267</v>
      </c>
      <c r="I54" s="184">
        <v>17.518025675596462</v>
      </c>
      <c r="J54" s="186">
        <v>20.551028782460872</v>
      </c>
    </row>
    <row r="55" spans="1:13" x14ac:dyDescent="0.25">
      <c r="A55" s="169" t="s">
        <v>291</v>
      </c>
      <c r="B55" s="33">
        <v>64.987514971883314</v>
      </c>
      <c r="C55" s="184">
        <v>21.092389208063501</v>
      </c>
      <c r="D55" s="185">
        <v>13.920095820053188</v>
      </c>
      <c r="E55" s="184">
        <v>84.309175647225914</v>
      </c>
      <c r="F55" s="184">
        <v>9.7352262574063548</v>
      </c>
      <c r="G55" s="184">
        <v>5.9555980953677219</v>
      </c>
      <c r="H55" s="33">
        <v>50.79425030251916</v>
      </c>
      <c r="I55" s="184">
        <v>24.058157016611052</v>
      </c>
      <c r="J55" s="186">
        <v>25.147592680869792</v>
      </c>
    </row>
    <row r="56" spans="1:13" ht="15.75" thickBot="1" x14ac:dyDescent="0.3">
      <c r="A56" s="174" t="s">
        <v>292</v>
      </c>
      <c r="B56" s="187">
        <v>72.795161102710253</v>
      </c>
      <c r="C56" s="188">
        <v>16.045132022798651</v>
      </c>
      <c r="D56" s="189">
        <v>11.159706874491102</v>
      </c>
      <c r="E56" s="188">
        <v>87.146090692856589</v>
      </c>
      <c r="F56" s="188">
        <v>7.9586434435663325</v>
      </c>
      <c r="G56" s="188">
        <v>4.8952658635770741</v>
      </c>
      <c r="H56" s="187">
        <v>59.223348275190027</v>
      </c>
      <c r="I56" s="188">
        <v>24.337361138179691</v>
      </c>
      <c r="J56" s="190">
        <v>16.439290586630285</v>
      </c>
    </row>
    <row r="58" spans="1:13" ht="15" customHeight="1" x14ac:dyDescent="0.25">
      <c r="A58" s="351" t="s">
        <v>293</v>
      </c>
      <c r="B58" s="351"/>
      <c r="C58" s="351"/>
      <c r="D58" s="351"/>
      <c r="E58" s="351"/>
      <c r="F58" s="351"/>
      <c r="G58" s="351"/>
      <c r="H58" s="351"/>
      <c r="I58" s="351"/>
      <c r="J58" s="351"/>
      <c r="K58" s="2"/>
      <c r="L58" s="2"/>
      <c r="M58" s="2"/>
    </row>
    <row r="59" spans="1:13" x14ac:dyDescent="0.25">
      <c r="A59" s="351"/>
      <c r="B59" s="351"/>
      <c r="C59" s="351"/>
      <c r="D59" s="351"/>
      <c r="E59" s="351"/>
      <c r="F59" s="351"/>
      <c r="G59" s="351"/>
      <c r="H59" s="351"/>
      <c r="I59" s="351"/>
      <c r="J59" s="351"/>
      <c r="K59" s="2"/>
      <c r="L59" s="2"/>
      <c r="M59" s="2"/>
    </row>
    <row r="60" spans="1:13" x14ac:dyDescent="0.25">
      <c r="A60" s="58" t="s">
        <v>109</v>
      </c>
    </row>
  </sheetData>
  <mergeCells count="6">
    <mergeCell ref="A58:J59"/>
    <mergeCell ref="A3:J3"/>
    <mergeCell ref="A4:A5"/>
    <mergeCell ref="B4:D4"/>
    <mergeCell ref="E4:G4"/>
    <mergeCell ref="H4:J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0"/>
  <sheetViews>
    <sheetView zoomScale="85" zoomScaleNormal="85" workbookViewId="0">
      <pane xSplit="1" ySplit="5" topLeftCell="B318" activePane="bottomRight" state="frozen"/>
      <selection pane="topRight" activeCell="B1" sqref="B1"/>
      <selection pane="bottomLeft" activeCell="A6" sqref="A6"/>
      <selection pane="bottomRight" activeCell="B337" sqref="B337"/>
    </sheetView>
  </sheetViews>
  <sheetFormatPr defaultRowHeight="15" x14ac:dyDescent="0.25"/>
  <cols>
    <col min="1" max="1" width="45" style="16" customWidth="1"/>
    <col min="2" max="13" width="10.7109375" style="213" customWidth="1"/>
    <col min="14" max="14" width="2.5703125" style="213" customWidth="1"/>
    <col min="15" max="27" width="10.7109375" style="213" customWidth="1"/>
    <col min="28" max="28" width="12.140625" style="213" customWidth="1"/>
    <col min="29" max="32" width="10.7109375" style="213" customWidth="1"/>
    <col min="33" max="16384" width="9.140625" style="16"/>
  </cols>
  <sheetData>
    <row r="1" spans="1:32" s="219" customFormat="1" ht="15.75" x14ac:dyDescent="0.25">
      <c r="A1" s="217" t="s">
        <v>683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row>
    <row r="2" spans="1:32" x14ac:dyDescent="0.25">
      <c r="A2" s="430" t="s">
        <v>186</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row>
    <row r="3" spans="1:32" x14ac:dyDescent="0.25">
      <c r="A3" s="431"/>
      <c r="B3" s="427" t="s">
        <v>1</v>
      </c>
      <c r="C3" s="427"/>
      <c r="D3" s="427"/>
      <c r="E3" s="427"/>
      <c r="F3" s="427"/>
      <c r="G3" s="427"/>
      <c r="H3" s="426" t="s">
        <v>168</v>
      </c>
      <c r="I3" s="427"/>
      <c r="J3" s="427"/>
      <c r="K3" s="427"/>
      <c r="L3" s="427"/>
      <c r="M3" s="429"/>
      <c r="N3" s="433"/>
      <c r="O3" s="426" t="s">
        <v>2</v>
      </c>
      <c r="P3" s="427"/>
      <c r="Q3" s="427"/>
      <c r="R3" s="427"/>
      <c r="S3" s="427"/>
      <c r="T3" s="427"/>
      <c r="U3" s="426" t="s">
        <v>3</v>
      </c>
      <c r="V3" s="427"/>
      <c r="W3" s="427"/>
      <c r="X3" s="427"/>
      <c r="Y3" s="427"/>
      <c r="Z3" s="429"/>
      <c r="AA3" s="427" t="s">
        <v>47</v>
      </c>
      <c r="AB3" s="427"/>
      <c r="AC3" s="427"/>
      <c r="AD3" s="427"/>
      <c r="AE3" s="427"/>
      <c r="AF3" s="436"/>
    </row>
    <row r="4" spans="1:32" x14ac:dyDescent="0.25">
      <c r="A4" s="432"/>
      <c r="B4" s="424" t="s">
        <v>298</v>
      </c>
      <c r="C4" s="424"/>
      <c r="D4" s="424"/>
      <c r="E4" s="423" t="s">
        <v>241</v>
      </c>
      <c r="F4" s="424"/>
      <c r="G4" s="424"/>
      <c r="H4" s="437" t="s">
        <v>298</v>
      </c>
      <c r="I4" s="424"/>
      <c r="J4" s="424"/>
      <c r="K4" s="423" t="s">
        <v>241</v>
      </c>
      <c r="L4" s="424"/>
      <c r="M4" s="425"/>
      <c r="N4" s="434"/>
      <c r="O4" s="426" t="s">
        <v>298</v>
      </c>
      <c r="P4" s="427"/>
      <c r="Q4" s="427"/>
      <c r="R4" s="428" t="s">
        <v>241</v>
      </c>
      <c r="S4" s="427"/>
      <c r="T4" s="429"/>
      <c r="U4" s="426" t="s">
        <v>298</v>
      </c>
      <c r="V4" s="427"/>
      <c r="W4" s="427"/>
      <c r="X4" s="428" t="s">
        <v>241</v>
      </c>
      <c r="Y4" s="427"/>
      <c r="Z4" s="429"/>
      <c r="AA4" s="427" t="s">
        <v>298</v>
      </c>
      <c r="AB4" s="427"/>
      <c r="AC4" s="427"/>
      <c r="AD4" s="428" t="s">
        <v>241</v>
      </c>
      <c r="AE4" s="427"/>
      <c r="AF4" s="436"/>
    </row>
    <row r="5" spans="1:32" ht="30" x14ac:dyDescent="0.25">
      <c r="A5" s="432"/>
      <c r="B5" s="193" t="s">
        <v>299</v>
      </c>
      <c r="C5" s="194" t="s">
        <v>300</v>
      </c>
      <c r="D5" s="194" t="s">
        <v>301</v>
      </c>
      <c r="E5" s="195" t="s">
        <v>299</v>
      </c>
      <c r="F5" s="194" t="s">
        <v>300</v>
      </c>
      <c r="G5" s="194" t="s">
        <v>301</v>
      </c>
      <c r="H5" s="196" t="s">
        <v>299</v>
      </c>
      <c r="I5" s="194" t="s">
        <v>300</v>
      </c>
      <c r="J5" s="194" t="s">
        <v>301</v>
      </c>
      <c r="K5" s="195" t="s">
        <v>299</v>
      </c>
      <c r="L5" s="194" t="s">
        <v>300</v>
      </c>
      <c r="M5" s="197" t="s">
        <v>301</v>
      </c>
      <c r="N5" s="434"/>
      <c r="O5" s="196" t="s">
        <v>299</v>
      </c>
      <c r="P5" s="194" t="s">
        <v>300</v>
      </c>
      <c r="Q5" s="194" t="s">
        <v>301</v>
      </c>
      <c r="R5" s="195" t="s">
        <v>299</v>
      </c>
      <c r="S5" s="194" t="s">
        <v>300</v>
      </c>
      <c r="T5" s="197" t="s">
        <v>301</v>
      </c>
      <c r="U5" s="193" t="s">
        <v>299</v>
      </c>
      <c r="V5" s="194" t="s">
        <v>300</v>
      </c>
      <c r="W5" s="194" t="s">
        <v>301</v>
      </c>
      <c r="X5" s="195" t="s">
        <v>299</v>
      </c>
      <c r="Y5" s="194" t="s">
        <v>300</v>
      </c>
      <c r="Z5" s="197" t="s">
        <v>301</v>
      </c>
      <c r="AA5" s="193" t="s">
        <v>299</v>
      </c>
      <c r="AB5" s="194" t="s">
        <v>300</v>
      </c>
      <c r="AC5" s="194" t="s">
        <v>301</v>
      </c>
      <c r="AD5" s="195" t="s">
        <v>299</v>
      </c>
      <c r="AE5" s="194" t="s">
        <v>300</v>
      </c>
      <c r="AF5" s="198" t="s">
        <v>301</v>
      </c>
    </row>
    <row r="6" spans="1:32" x14ac:dyDescent="0.25">
      <c r="A6" s="199" t="s">
        <v>302</v>
      </c>
      <c r="B6" s="200">
        <v>73.851017890191244</v>
      </c>
      <c r="C6" s="200">
        <v>13.895743368291177</v>
      </c>
      <c r="D6" s="200">
        <v>12.253238741517581</v>
      </c>
      <c r="E6" s="201">
        <v>48.615725359911401</v>
      </c>
      <c r="F6" s="200">
        <v>16.765103974406301</v>
      </c>
      <c r="G6" s="200">
        <v>34.61917066568229</v>
      </c>
      <c r="H6" s="202">
        <v>86.77981613211864</v>
      </c>
      <c r="I6" s="200">
        <v>7.5918299430092766</v>
      </c>
      <c r="J6" s="200">
        <v>5.6283539248720826</v>
      </c>
      <c r="K6" s="201">
        <v>60.722950024260072</v>
      </c>
      <c r="L6" s="200">
        <v>19.577874818049491</v>
      </c>
      <c r="M6" s="203">
        <v>19.699175157690441</v>
      </c>
      <c r="N6" s="434"/>
      <c r="O6" s="202">
        <v>89.895383593490536</v>
      </c>
      <c r="P6" s="200">
        <v>4.7243440717369651</v>
      </c>
      <c r="Q6" s="200">
        <v>5.3802723347725001</v>
      </c>
      <c r="R6" s="201">
        <v>65.640123185217774</v>
      </c>
      <c r="S6" s="200">
        <v>17.79586449626045</v>
      </c>
      <c r="T6" s="200">
        <v>16.56401231852178</v>
      </c>
      <c r="U6" s="202">
        <v>84.869947490536077</v>
      </c>
      <c r="V6" s="200">
        <v>9.9157406276712674</v>
      </c>
      <c r="W6" s="200">
        <v>5.2143118817926482</v>
      </c>
      <c r="X6" s="201">
        <v>67.267135325131804</v>
      </c>
      <c r="Y6" s="200">
        <v>22.803163444639718</v>
      </c>
      <c r="Z6" s="203">
        <v>9.9297012302284706</v>
      </c>
      <c r="AA6" s="200">
        <v>81.034935644864731</v>
      </c>
      <c r="AB6" s="204">
        <v>11.662726556343578</v>
      </c>
      <c r="AC6" s="200">
        <v>7.3023377987917</v>
      </c>
      <c r="AD6" s="201">
        <v>34.528832630098456</v>
      </c>
      <c r="AE6" s="200">
        <v>20.112517580872012</v>
      </c>
      <c r="AF6" s="205">
        <v>45.358649789029535</v>
      </c>
    </row>
    <row r="7" spans="1:32" x14ac:dyDescent="0.25">
      <c r="A7" s="199" t="s">
        <v>303</v>
      </c>
      <c r="B7" s="200">
        <v>78.650018917896318</v>
      </c>
      <c r="C7" s="200">
        <v>14.138479001135074</v>
      </c>
      <c r="D7" s="200">
        <v>7.2115020809685957</v>
      </c>
      <c r="E7" s="201">
        <v>51.649768983363543</v>
      </c>
      <c r="F7" s="200">
        <v>17.206249693882551</v>
      </c>
      <c r="G7" s="200">
        <v>31.143981322753916</v>
      </c>
      <c r="H7" s="202">
        <v>78.496572633799104</v>
      </c>
      <c r="I7" s="200">
        <v>12.245419193250726</v>
      </c>
      <c r="J7" s="200">
        <v>9.2580081729501718</v>
      </c>
      <c r="K7" s="201">
        <v>51.662213384701431</v>
      </c>
      <c r="L7" s="200">
        <v>19.881314857391413</v>
      </c>
      <c r="M7" s="203">
        <v>28.456471757907163</v>
      </c>
      <c r="N7" s="434"/>
      <c r="O7" s="202">
        <v>79.419449783757813</v>
      </c>
      <c r="P7" s="200">
        <v>11.807724651609803</v>
      </c>
      <c r="Q7" s="200">
        <v>8.7728255646323881</v>
      </c>
      <c r="R7" s="201">
        <v>56.14150632732747</v>
      </c>
      <c r="S7" s="200">
        <v>17.584795596744602</v>
      </c>
      <c r="T7" s="200">
        <v>26.273698075927932</v>
      </c>
      <c r="U7" s="202">
        <v>76.962622950819664</v>
      </c>
      <c r="V7" s="200">
        <v>12.133770491803279</v>
      </c>
      <c r="W7" s="200">
        <v>10.903606557377049</v>
      </c>
      <c r="X7" s="201">
        <v>49.595823509599192</v>
      </c>
      <c r="Y7" s="200">
        <v>22.145503536544293</v>
      </c>
      <c r="Z7" s="203">
        <v>28.258672953856518</v>
      </c>
      <c r="AA7" s="200">
        <v>78.318026292094373</v>
      </c>
      <c r="AB7" s="204">
        <v>14.25055525541749</v>
      </c>
      <c r="AC7" s="200">
        <v>7.4314184524881446</v>
      </c>
      <c r="AD7" s="201">
        <v>35.043077539571229</v>
      </c>
      <c r="AE7" s="200">
        <v>26.968543378080547</v>
      </c>
      <c r="AF7" s="205">
        <v>37.988379082348231</v>
      </c>
    </row>
    <row r="8" spans="1:32" x14ac:dyDescent="0.25">
      <c r="A8" s="199" t="s">
        <v>304</v>
      </c>
      <c r="B8" s="200">
        <v>69.32023079697079</v>
      </c>
      <c r="C8" s="200">
        <v>23.151821132347639</v>
      </c>
      <c r="D8" s="200">
        <v>7.5279480706815729</v>
      </c>
      <c r="E8" s="201">
        <v>38.309608540925268</v>
      </c>
      <c r="F8" s="200">
        <v>21.293001186239621</v>
      </c>
      <c r="G8" s="200">
        <v>40.397390272835118</v>
      </c>
      <c r="H8" s="202">
        <v>70.864312267657994</v>
      </c>
      <c r="I8" s="200">
        <v>13.243494423791821</v>
      </c>
      <c r="J8" s="200">
        <v>15.892193308550187</v>
      </c>
      <c r="K8" s="201">
        <v>53.640051238257904</v>
      </c>
      <c r="L8" s="200">
        <v>17.026046114432109</v>
      </c>
      <c r="M8" s="203">
        <v>29.333902647309991</v>
      </c>
      <c r="N8" s="434"/>
      <c r="O8" s="202">
        <v>67.850719424460422</v>
      </c>
      <c r="P8" s="200">
        <v>13.750000000000002</v>
      </c>
      <c r="Q8" s="200">
        <v>18.399280575539567</v>
      </c>
      <c r="R8" s="201">
        <v>56.621342004138342</v>
      </c>
      <c r="S8" s="200">
        <v>13.183564883239729</v>
      </c>
      <c r="T8" s="200">
        <v>30.195093112621933</v>
      </c>
      <c r="U8" s="202">
        <v>71.790633608815426</v>
      </c>
      <c r="V8" s="200">
        <v>13.209366391184574</v>
      </c>
      <c r="W8" s="200">
        <v>15</v>
      </c>
      <c r="X8" s="201">
        <v>42.724745134383689</v>
      </c>
      <c r="Y8" s="200">
        <v>25.625579240037073</v>
      </c>
      <c r="Z8" s="203">
        <v>31.649675625579238</v>
      </c>
      <c r="AA8" s="200">
        <v>79.401464501751036</v>
      </c>
      <c r="AB8" s="204">
        <v>11.524992040751354</v>
      </c>
      <c r="AC8" s="200">
        <v>9.0735434574976122</v>
      </c>
      <c r="AD8" s="201">
        <v>61.348314606741575</v>
      </c>
      <c r="AE8" s="200">
        <v>33.707865168539328</v>
      </c>
      <c r="AF8" s="205">
        <v>4.9438202247191008</v>
      </c>
    </row>
    <row r="9" spans="1:32" x14ac:dyDescent="0.25">
      <c r="A9" s="199" t="s">
        <v>305</v>
      </c>
      <c r="B9" s="200">
        <v>72.376203177548419</v>
      </c>
      <c r="C9" s="200">
        <v>17.093818856546445</v>
      </c>
      <c r="D9" s="200">
        <v>10.529977965905138</v>
      </c>
      <c r="E9" s="201">
        <v>31.88342377034833</v>
      </c>
      <c r="F9" s="200">
        <v>16.121127253632068</v>
      </c>
      <c r="G9" s="200">
        <v>51.99544897601961</v>
      </c>
      <c r="H9" s="202">
        <v>72.820730220973985</v>
      </c>
      <c r="I9" s="200">
        <v>16.787663610831434</v>
      </c>
      <c r="J9" s="200">
        <v>10.391606168194583</v>
      </c>
      <c r="K9" s="201">
        <v>45.073891625615765</v>
      </c>
      <c r="L9" s="200">
        <v>23.52216748768473</v>
      </c>
      <c r="M9" s="203">
        <v>31.403940886699505</v>
      </c>
      <c r="N9" s="434"/>
      <c r="O9" s="202">
        <v>69.583722620159875</v>
      </c>
      <c r="P9" s="200">
        <v>16.080141181355756</v>
      </c>
      <c r="Q9" s="200">
        <v>14.336136198484375</v>
      </c>
      <c r="R9" s="201">
        <v>44.90062761506276</v>
      </c>
      <c r="S9" s="200">
        <v>20.0836820083682</v>
      </c>
      <c r="T9" s="200">
        <v>35.015690376569033</v>
      </c>
      <c r="U9" s="202">
        <v>76.700195165891003</v>
      </c>
      <c r="V9" s="200">
        <v>16.994445278486715</v>
      </c>
      <c r="W9" s="200">
        <v>6.305359555622279</v>
      </c>
      <c r="X9" s="201">
        <v>48.083875632682577</v>
      </c>
      <c r="Y9" s="200">
        <v>26.319595083152571</v>
      </c>
      <c r="Z9" s="203">
        <v>25.596529284164859</v>
      </c>
      <c r="AA9" s="200">
        <v>74.922360248447205</v>
      </c>
      <c r="AB9" s="204">
        <v>18.866459627329192</v>
      </c>
      <c r="AC9" s="200">
        <v>6.2111801242236027</v>
      </c>
      <c r="AD9" s="201">
        <v>37.735849056603776</v>
      </c>
      <c r="AE9" s="200">
        <v>42.976939203354299</v>
      </c>
      <c r="AF9" s="205">
        <v>19.287211740041929</v>
      </c>
    </row>
    <row r="10" spans="1:32" x14ac:dyDescent="0.25">
      <c r="A10" s="199" t="s">
        <v>306</v>
      </c>
      <c r="B10" s="200">
        <v>74.113797491365204</v>
      </c>
      <c r="C10" s="200">
        <v>17.480458098527542</v>
      </c>
      <c r="D10" s="200">
        <v>8.4057444101072534</v>
      </c>
      <c r="E10" s="201">
        <v>59.279453088956927</v>
      </c>
      <c r="F10" s="200">
        <v>15.343427141439136</v>
      </c>
      <c r="G10" s="200">
        <v>25.377119769603933</v>
      </c>
      <c r="H10" s="202">
        <v>76.72522859278854</v>
      </c>
      <c r="I10" s="200">
        <v>13.353269308183336</v>
      </c>
      <c r="J10" s="200">
        <v>9.9215020990281211</v>
      </c>
      <c r="K10" s="201">
        <v>53.200640128025597</v>
      </c>
      <c r="L10" s="200">
        <v>22.684536907381474</v>
      </c>
      <c r="M10" s="203">
        <v>24.114822964592918</v>
      </c>
      <c r="N10" s="434"/>
      <c r="O10" s="202">
        <v>79.928868691109827</v>
      </c>
      <c r="P10" s="200">
        <v>11.492152092569494</v>
      </c>
      <c r="Q10" s="200">
        <v>8.5789792163206844</v>
      </c>
      <c r="R10" s="201">
        <v>61.401930595439921</v>
      </c>
      <c r="S10" s="200">
        <v>15.25447185413279</v>
      </c>
      <c r="T10" s="200">
        <v>23.34359755042729</v>
      </c>
      <c r="U10" s="202">
        <v>71.820414847161572</v>
      </c>
      <c r="V10" s="200">
        <v>16.141284570596799</v>
      </c>
      <c r="W10" s="200">
        <v>12.03830058224163</v>
      </c>
      <c r="X10" s="201">
        <v>47.012987012987011</v>
      </c>
      <c r="Y10" s="200">
        <v>32.182656053623795</v>
      </c>
      <c r="Z10" s="203">
        <v>20.804356933389194</v>
      </c>
      <c r="AA10" s="200">
        <v>73.63071710897799</v>
      </c>
      <c r="AB10" s="204">
        <v>15.337380011293057</v>
      </c>
      <c r="AC10" s="200">
        <v>11.031902879728966</v>
      </c>
      <c r="AD10" s="201">
        <v>35.36931818181818</v>
      </c>
      <c r="AE10" s="200">
        <v>33.763111888111894</v>
      </c>
      <c r="AF10" s="205">
        <v>30.867569930069934</v>
      </c>
    </row>
    <row r="11" spans="1:32" x14ac:dyDescent="0.25">
      <c r="A11" s="199" t="s">
        <v>307</v>
      </c>
      <c r="B11" s="200">
        <v>69.470061631202483</v>
      </c>
      <c r="C11" s="200">
        <v>17.231994241756265</v>
      </c>
      <c r="D11" s="200">
        <v>13.297944127041253</v>
      </c>
      <c r="E11" s="201">
        <v>46.813286622550926</v>
      </c>
      <c r="F11" s="200">
        <v>21.095108343064748</v>
      </c>
      <c r="G11" s="200">
        <v>32.091605034384322</v>
      </c>
      <c r="H11" s="202">
        <v>73.505844247289104</v>
      </c>
      <c r="I11" s="200">
        <v>13.895930150683004</v>
      </c>
      <c r="J11" s="200">
        <v>12.598225602027883</v>
      </c>
      <c r="K11" s="201">
        <v>46.565333333333328</v>
      </c>
      <c r="L11" s="200">
        <v>24.965333333333334</v>
      </c>
      <c r="M11" s="203">
        <v>28.469333333333335</v>
      </c>
      <c r="N11" s="434"/>
      <c r="O11" s="202">
        <v>71.351912757486573</v>
      </c>
      <c r="P11" s="200">
        <v>14.014936076559801</v>
      </c>
      <c r="Q11" s="200">
        <v>14.63315116595366</v>
      </c>
      <c r="R11" s="201">
        <v>46.03700177972766</v>
      </c>
      <c r="S11" s="200">
        <v>25.466661148131287</v>
      </c>
      <c r="T11" s="200">
        <v>28.496337072141053</v>
      </c>
      <c r="U11" s="202">
        <v>75.731623343088316</v>
      </c>
      <c r="V11" s="200">
        <v>14.326906524358755</v>
      </c>
      <c r="W11" s="200">
        <v>9.9414701325529347</v>
      </c>
      <c r="X11" s="201">
        <v>48.986588686094585</v>
      </c>
      <c r="Y11" s="200">
        <v>24.422708480387215</v>
      </c>
      <c r="Z11" s="203">
        <v>26.590702833518197</v>
      </c>
      <c r="AA11" s="200">
        <v>78.329925017041575</v>
      </c>
      <c r="AB11" s="204">
        <v>11.874573960463533</v>
      </c>
      <c r="AC11" s="200">
        <v>9.7955010224948875</v>
      </c>
      <c r="AD11" s="201">
        <v>43.278784336645238</v>
      </c>
      <c r="AE11" s="200">
        <v>22.998246639392168</v>
      </c>
      <c r="AF11" s="205">
        <v>33.722969023962598</v>
      </c>
    </row>
    <row r="12" spans="1:32" x14ac:dyDescent="0.25">
      <c r="A12" s="199" t="s">
        <v>308</v>
      </c>
      <c r="B12" s="200">
        <v>81.464779972010575</v>
      </c>
      <c r="C12" s="200">
        <v>13.846991136681696</v>
      </c>
      <c r="D12" s="200">
        <v>4.6882288913077286</v>
      </c>
      <c r="E12" s="201">
        <v>60.806738802903716</v>
      </c>
      <c r="F12" s="200">
        <v>18.689220654704837</v>
      </c>
      <c r="G12" s="200">
        <v>20.504040542391451</v>
      </c>
      <c r="H12" s="202">
        <v>80.739011359044582</v>
      </c>
      <c r="I12" s="200">
        <v>11.022314012481479</v>
      </c>
      <c r="J12" s="200">
        <v>8.2386746284739374</v>
      </c>
      <c r="K12" s="201">
        <v>62.899380066762042</v>
      </c>
      <c r="L12" s="200">
        <v>22.031473533619454</v>
      </c>
      <c r="M12" s="203">
        <v>15.069146399618502</v>
      </c>
      <c r="N12" s="434"/>
      <c r="O12" s="202">
        <v>79.319807084649923</v>
      </c>
      <c r="P12" s="200">
        <v>11.458506569100283</v>
      </c>
      <c r="Q12" s="200">
        <v>9.2216863462497933</v>
      </c>
      <c r="R12" s="201">
        <v>60.380499405469678</v>
      </c>
      <c r="S12" s="200">
        <v>26.230677764565989</v>
      </c>
      <c r="T12" s="200">
        <v>13.388822829964328</v>
      </c>
      <c r="U12" s="202">
        <v>79.059771658831437</v>
      </c>
      <c r="V12" s="200">
        <v>12.854264607118871</v>
      </c>
      <c r="W12" s="200">
        <v>8.085963734049697</v>
      </c>
      <c r="X12" s="201">
        <v>62.790697674418603</v>
      </c>
      <c r="Y12" s="200">
        <v>17.305061559507521</v>
      </c>
      <c r="Z12" s="203">
        <v>19.904240766073872</v>
      </c>
      <c r="AA12" s="200">
        <v>91.288825419493037</v>
      </c>
      <c r="AB12" s="204">
        <v>4.2841842199214568</v>
      </c>
      <c r="AC12" s="200">
        <v>4.4269903605855054</v>
      </c>
      <c r="AD12" s="201">
        <v>80.096308186195827</v>
      </c>
      <c r="AE12" s="200">
        <v>4.8154093097913329</v>
      </c>
      <c r="AF12" s="205">
        <v>15.08828250401284</v>
      </c>
    </row>
    <row r="13" spans="1:32" x14ac:dyDescent="0.25">
      <c r="A13" s="199" t="s">
        <v>309</v>
      </c>
      <c r="B13" s="200">
        <v>70.096663548487683</v>
      </c>
      <c r="C13" s="200">
        <v>18.963325417955915</v>
      </c>
      <c r="D13" s="200">
        <v>10.940011033556402</v>
      </c>
      <c r="E13" s="201">
        <v>51.001654107700787</v>
      </c>
      <c r="F13" s="200">
        <v>24.019481712920417</v>
      </c>
      <c r="G13" s="200">
        <v>24.978864179378789</v>
      </c>
      <c r="H13" s="202">
        <v>70.902182557214815</v>
      </c>
      <c r="I13" s="200">
        <v>17.405231068304321</v>
      </c>
      <c r="J13" s="200">
        <v>11.69258637448087</v>
      </c>
      <c r="K13" s="201">
        <v>47.026640707790129</v>
      </c>
      <c r="L13" s="200">
        <v>22.369815412672203</v>
      </c>
      <c r="M13" s="203">
        <v>30.603543879537671</v>
      </c>
      <c r="N13" s="434"/>
      <c r="O13" s="202">
        <v>72.512032293122189</v>
      </c>
      <c r="P13" s="200">
        <v>16.834860011385398</v>
      </c>
      <c r="Q13" s="200">
        <v>10.653107695492418</v>
      </c>
      <c r="R13" s="201">
        <v>48.906064695538383</v>
      </c>
      <c r="S13" s="200">
        <v>19.72355130249867</v>
      </c>
      <c r="T13" s="200">
        <v>31.370384001962947</v>
      </c>
      <c r="U13" s="202">
        <v>68.647305627827393</v>
      </c>
      <c r="V13" s="200">
        <v>19.445421090874998</v>
      </c>
      <c r="W13" s="200">
        <v>11.907273281297611</v>
      </c>
      <c r="X13" s="201">
        <v>45.905272981801218</v>
      </c>
      <c r="Y13" s="200">
        <v>29.036397573495098</v>
      </c>
      <c r="Z13" s="203">
        <v>25.058329444703688</v>
      </c>
      <c r="AA13" s="200">
        <v>69.121080194334027</v>
      </c>
      <c r="AB13" s="204">
        <v>14.694933434286076</v>
      </c>
      <c r="AC13" s="200">
        <v>16.183986371379895</v>
      </c>
      <c r="AD13" s="201">
        <v>42.21398305084746</v>
      </c>
      <c r="AE13" s="200">
        <v>23.371292372881356</v>
      </c>
      <c r="AF13" s="205">
        <v>34.41472457627119</v>
      </c>
    </row>
    <row r="14" spans="1:32" x14ac:dyDescent="0.25">
      <c r="A14" s="199" t="s">
        <v>310</v>
      </c>
      <c r="B14" s="200">
        <v>84.815887463798106</v>
      </c>
      <c r="C14" s="200">
        <v>8.6967314853123696</v>
      </c>
      <c r="D14" s="200">
        <v>6.4873810508895318</v>
      </c>
      <c r="E14" s="201">
        <v>50.204439252336449</v>
      </c>
      <c r="F14" s="200">
        <v>21.495327102803738</v>
      </c>
      <c r="G14" s="200">
        <v>28.300233644859812</v>
      </c>
      <c r="H14" s="202">
        <v>82.69238729974748</v>
      </c>
      <c r="I14" s="200">
        <v>10.502131887237653</v>
      </c>
      <c r="J14" s="200">
        <v>6.805480813014861</v>
      </c>
      <c r="K14" s="201">
        <v>53.29619312906221</v>
      </c>
      <c r="L14" s="200">
        <v>23.537604456824511</v>
      </c>
      <c r="M14" s="203">
        <v>23.166202414113275</v>
      </c>
      <c r="N14" s="434"/>
      <c r="O14" s="202">
        <v>81.952030396580383</v>
      </c>
      <c r="P14" s="200">
        <v>10.377582521966279</v>
      </c>
      <c r="Q14" s="200">
        <v>7.6703870814533364</v>
      </c>
      <c r="R14" s="201">
        <v>69.062307217766801</v>
      </c>
      <c r="S14" s="200">
        <v>11.690314620604566</v>
      </c>
      <c r="T14" s="200">
        <v>19.247378161628625</v>
      </c>
      <c r="U14" s="202">
        <v>82.866302540964142</v>
      </c>
      <c r="V14" s="200">
        <v>12.206126810733792</v>
      </c>
      <c r="W14" s="200">
        <v>4.9275706483020665</v>
      </c>
      <c r="X14" s="201">
        <v>39.646320593268683</v>
      </c>
      <c r="Y14" s="200">
        <v>52.595550484883056</v>
      </c>
      <c r="Z14" s="203">
        <v>7.7581289218482601</v>
      </c>
      <c r="AA14" s="200">
        <v>85.235332043842675</v>
      </c>
      <c r="AB14" s="204">
        <v>6.3829787234042552</v>
      </c>
      <c r="AC14" s="200">
        <v>8.3816892327530628</v>
      </c>
      <c r="AD14" s="201">
        <v>34.741144414168943</v>
      </c>
      <c r="AE14" s="200">
        <v>15.054495912806539</v>
      </c>
      <c r="AF14" s="205">
        <v>50.204359673024527</v>
      </c>
    </row>
    <row r="15" spans="1:32" x14ac:dyDescent="0.25">
      <c r="A15" s="199" t="s">
        <v>311</v>
      </c>
      <c r="B15" s="200">
        <v>79.442464892056179</v>
      </c>
      <c r="C15" s="200">
        <v>12.127436596101445</v>
      </c>
      <c r="D15" s="200">
        <v>8.430098511842381</v>
      </c>
      <c r="E15" s="201">
        <v>57.325319308790377</v>
      </c>
      <c r="F15" s="200">
        <v>17.007394519356243</v>
      </c>
      <c r="G15" s="200">
        <v>25.667286171853377</v>
      </c>
      <c r="H15" s="202">
        <v>82.470703125</v>
      </c>
      <c r="I15" s="200">
        <v>9.0955946180555554</v>
      </c>
      <c r="J15" s="200">
        <v>8.4337022569444446</v>
      </c>
      <c r="K15" s="201">
        <v>49.378000872981232</v>
      </c>
      <c r="L15" s="200">
        <v>26.625927542557836</v>
      </c>
      <c r="M15" s="203">
        <v>23.996071584460935</v>
      </c>
      <c r="N15" s="434"/>
      <c r="O15" s="202">
        <v>86.207751015957982</v>
      </c>
      <c r="P15" s="200">
        <v>8.8165328575676476</v>
      </c>
      <c r="Q15" s="200">
        <v>4.9757161264743788</v>
      </c>
      <c r="R15" s="201">
        <v>47.780779621767657</v>
      </c>
      <c r="S15" s="200">
        <v>21.478193747587802</v>
      </c>
      <c r="T15" s="200">
        <v>30.741026630644541</v>
      </c>
      <c r="U15" s="202">
        <v>79.377245508982028</v>
      </c>
      <c r="V15" s="200">
        <v>9.2135728542914173</v>
      </c>
      <c r="W15" s="200">
        <v>11.409181636726547</v>
      </c>
      <c r="X15" s="201">
        <v>45.470085470085472</v>
      </c>
      <c r="Y15" s="200">
        <v>37.333333333333336</v>
      </c>
      <c r="Z15" s="203">
        <v>17.196581196581196</v>
      </c>
      <c r="AA15" s="200">
        <v>73.648810953639199</v>
      </c>
      <c r="AB15" s="204">
        <v>10.112899351429258</v>
      </c>
      <c r="AC15" s="200">
        <v>16.238289694931542</v>
      </c>
      <c r="AD15" s="201">
        <v>68.052930056710764</v>
      </c>
      <c r="AE15" s="200">
        <v>22.211720226843102</v>
      </c>
      <c r="AF15" s="205">
        <v>9.7353497164461249</v>
      </c>
    </row>
    <row r="16" spans="1:32" x14ac:dyDescent="0.25">
      <c r="A16" s="199" t="s">
        <v>312</v>
      </c>
      <c r="B16" s="200">
        <v>80.775616698292225</v>
      </c>
      <c r="C16" s="200">
        <v>17.528462998102469</v>
      </c>
      <c r="D16" s="200">
        <v>1.6959203036053132</v>
      </c>
      <c r="E16" s="201">
        <v>36.633412242137304</v>
      </c>
      <c r="F16" s="200">
        <v>20.688197497463644</v>
      </c>
      <c r="G16" s="200">
        <v>42.678390260399048</v>
      </c>
      <c r="H16" s="202">
        <v>84.40921719235169</v>
      </c>
      <c r="I16" s="200">
        <v>10.957672822356594</v>
      </c>
      <c r="J16" s="200">
        <v>4.6331099852917141</v>
      </c>
      <c r="K16" s="201">
        <v>45.143555284056205</v>
      </c>
      <c r="L16" s="200">
        <v>40.531459987782533</v>
      </c>
      <c r="M16" s="203">
        <v>14.324984728161272</v>
      </c>
      <c r="N16" s="434"/>
      <c r="O16" s="202">
        <v>86.101644688101942</v>
      </c>
      <c r="P16" s="200">
        <v>12.253667209957031</v>
      </c>
      <c r="Q16" s="200">
        <v>1.6446881019410282</v>
      </c>
      <c r="R16" s="201">
        <v>59.713890170742964</v>
      </c>
      <c r="S16" s="200">
        <v>40.286109829257036</v>
      </c>
      <c r="T16" s="200">
        <v>0</v>
      </c>
      <c r="U16" s="202">
        <v>83.498669247519956</v>
      </c>
      <c r="V16" s="200">
        <v>6.1940479070892813</v>
      </c>
      <c r="W16" s="200">
        <v>10.307282845390757</v>
      </c>
      <c r="X16" s="201">
        <v>0</v>
      </c>
      <c r="Y16" s="200">
        <v>46.560846560846556</v>
      </c>
      <c r="Z16" s="203">
        <v>53.439153439153444</v>
      </c>
      <c r="AA16" s="200">
        <v>78.703021370670598</v>
      </c>
      <c r="AB16" s="204">
        <v>19.012527634487842</v>
      </c>
      <c r="AC16" s="200">
        <v>2.2844509948415621</v>
      </c>
      <c r="AD16" s="201">
        <v>34.074074074074076</v>
      </c>
      <c r="AE16" s="200">
        <v>35.185185185185183</v>
      </c>
      <c r="AF16" s="205">
        <v>30.74074074074074</v>
      </c>
    </row>
    <row r="17" spans="1:32" x14ac:dyDescent="0.25">
      <c r="A17" s="199" t="s">
        <v>313</v>
      </c>
      <c r="B17" s="200">
        <v>70.47995424054912</v>
      </c>
      <c r="C17" s="200">
        <v>21.179345847849827</v>
      </c>
      <c r="D17" s="200">
        <v>8.3406999116010621</v>
      </c>
      <c r="E17" s="201">
        <v>55.799212386038732</v>
      </c>
      <c r="F17" s="200">
        <v>24.418730107352861</v>
      </c>
      <c r="G17" s="200">
        <v>19.782057506608407</v>
      </c>
      <c r="H17" s="202">
        <v>72.769708504457569</v>
      </c>
      <c r="I17" s="200">
        <v>16.870680156265653</v>
      </c>
      <c r="J17" s="200">
        <v>10.359611339276771</v>
      </c>
      <c r="K17" s="201">
        <v>57.22182167748138</v>
      </c>
      <c r="L17" s="200">
        <v>13.177921973884482</v>
      </c>
      <c r="M17" s="203">
        <v>29.60025634863414</v>
      </c>
      <c r="N17" s="434"/>
      <c r="O17" s="202">
        <v>74.360304287690184</v>
      </c>
      <c r="P17" s="200">
        <v>16.064430613185802</v>
      </c>
      <c r="Q17" s="200">
        <v>9.5752650991240209</v>
      </c>
      <c r="R17" s="201">
        <v>62.286407231837728</v>
      </c>
      <c r="S17" s="200">
        <v>10.428839157755485</v>
      </c>
      <c r="T17" s="200">
        <v>27.284753610406792</v>
      </c>
      <c r="U17" s="202">
        <v>66.279069767441854</v>
      </c>
      <c r="V17" s="200">
        <v>22.360150848522942</v>
      </c>
      <c r="W17" s="200">
        <v>11.360779384035197</v>
      </c>
      <c r="X17" s="201">
        <v>49.231922068190329</v>
      </c>
      <c r="Y17" s="200">
        <v>16.822780067440991</v>
      </c>
      <c r="Z17" s="203">
        <v>33.945297864368676</v>
      </c>
      <c r="AA17" s="200">
        <v>83.809907370116804</v>
      </c>
      <c r="AB17" s="204">
        <v>0</v>
      </c>
      <c r="AC17" s="200">
        <v>16.190092629883207</v>
      </c>
      <c r="AD17" s="201">
        <v>24.193548387096776</v>
      </c>
      <c r="AE17" s="200">
        <v>33.736559139784944</v>
      </c>
      <c r="AF17" s="205">
        <v>42.06989247311828</v>
      </c>
    </row>
    <row r="18" spans="1:32" x14ac:dyDescent="0.25">
      <c r="A18" s="199" t="s">
        <v>314</v>
      </c>
      <c r="B18" s="200">
        <v>71.552230500510092</v>
      </c>
      <c r="C18" s="200">
        <v>18.93838686740656</v>
      </c>
      <c r="D18" s="200">
        <v>9.5093826320833461</v>
      </c>
      <c r="E18" s="201">
        <v>41.962957631591571</v>
      </c>
      <c r="F18" s="200">
        <v>23.240247588887289</v>
      </c>
      <c r="G18" s="200">
        <v>34.796794779521136</v>
      </c>
      <c r="H18" s="202">
        <v>75.154004106776185</v>
      </c>
      <c r="I18" s="200">
        <v>13.969138186919308</v>
      </c>
      <c r="J18" s="200">
        <v>10.876857706304511</v>
      </c>
      <c r="K18" s="201">
        <v>45.396891769461284</v>
      </c>
      <c r="L18" s="200">
        <v>24.538295351592446</v>
      </c>
      <c r="M18" s="203">
        <v>30.064812878946267</v>
      </c>
      <c r="N18" s="434"/>
      <c r="O18" s="202">
        <v>78.689318708695197</v>
      </c>
      <c r="P18" s="200">
        <v>12.355973841735581</v>
      </c>
      <c r="Q18" s="200">
        <v>8.9547074495692183</v>
      </c>
      <c r="R18" s="201">
        <v>52.859403254972868</v>
      </c>
      <c r="S18" s="200">
        <v>16.941681735985533</v>
      </c>
      <c r="T18" s="200">
        <v>30.198915009041592</v>
      </c>
      <c r="U18" s="202">
        <v>67.943535025515274</v>
      </c>
      <c r="V18" s="200">
        <v>16.879846245609382</v>
      </c>
      <c r="W18" s="200">
        <v>15.17661872887534</v>
      </c>
      <c r="X18" s="201">
        <v>38.974358974358978</v>
      </c>
      <c r="Y18" s="200">
        <v>33.70940170940171</v>
      </c>
      <c r="Z18" s="203">
        <v>27.316239316239315</v>
      </c>
      <c r="AA18" s="200">
        <v>76.42870887050222</v>
      </c>
      <c r="AB18" s="204">
        <v>14.489128343274965</v>
      </c>
      <c r="AC18" s="200">
        <v>9.0821627862228205</v>
      </c>
      <c r="AD18" s="201">
        <v>27.05745341614907</v>
      </c>
      <c r="AE18" s="200">
        <v>40.217391304347828</v>
      </c>
      <c r="AF18" s="205">
        <v>32.725155279503106</v>
      </c>
    </row>
    <row r="19" spans="1:32" x14ac:dyDescent="0.25">
      <c r="A19" s="199" t="s">
        <v>315</v>
      </c>
      <c r="B19" s="200">
        <v>75.705238917674151</v>
      </c>
      <c r="C19" s="200">
        <v>8.2613701784686242</v>
      </c>
      <c r="D19" s="200">
        <v>16.033390903857224</v>
      </c>
      <c r="E19" s="201">
        <v>53.80321004884857</v>
      </c>
      <c r="F19" s="200">
        <v>15.591665835908683</v>
      </c>
      <c r="G19" s="200">
        <v>30.605124115242749</v>
      </c>
      <c r="H19" s="202">
        <v>78.2244393858672</v>
      </c>
      <c r="I19" s="200">
        <v>13.498329055068533</v>
      </c>
      <c r="J19" s="200">
        <v>8.2772315590642709</v>
      </c>
      <c r="K19" s="201">
        <v>68.147389969293755</v>
      </c>
      <c r="L19" s="200">
        <v>13.838280450358239</v>
      </c>
      <c r="M19" s="203">
        <v>18.014329580348004</v>
      </c>
      <c r="N19" s="434"/>
      <c r="O19" s="202">
        <v>75.867244829886587</v>
      </c>
      <c r="P19" s="200">
        <v>14.284523015343561</v>
      </c>
      <c r="Q19" s="200">
        <v>9.8482321547698461</v>
      </c>
      <c r="R19" s="201">
        <v>60.853739245532758</v>
      </c>
      <c r="S19" s="200">
        <v>17.074784910655193</v>
      </c>
      <c r="T19" s="200">
        <v>22.071475843812046</v>
      </c>
      <c r="U19" s="202">
        <v>78.247096092925034</v>
      </c>
      <c r="V19" s="200">
        <v>14.22537335948107</v>
      </c>
      <c r="W19" s="200">
        <v>7.5275305475939049</v>
      </c>
      <c r="X19" s="201">
        <v>76.25</v>
      </c>
      <c r="Y19" s="200">
        <v>8.0882352941176467</v>
      </c>
      <c r="Z19" s="203">
        <v>15.661764705882353</v>
      </c>
      <c r="AA19" s="200">
        <v>92.102665350444227</v>
      </c>
      <c r="AB19" s="204">
        <v>6.4659427443237911</v>
      </c>
      <c r="AC19" s="200">
        <v>1.4313919052319843</v>
      </c>
      <c r="AD19" s="201">
        <v>90.059642147117287</v>
      </c>
      <c r="AE19" s="200">
        <v>9.9403578528827037</v>
      </c>
      <c r="AF19" s="205">
        <v>0</v>
      </c>
    </row>
    <row r="20" spans="1:32" x14ac:dyDescent="0.25">
      <c r="A20" s="199" t="s">
        <v>316</v>
      </c>
      <c r="B20" s="200">
        <v>81.759915014164307</v>
      </c>
      <c r="C20" s="200">
        <v>14.461756373937677</v>
      </c>
      <c r="D20" s="200">
        <v>3.7783286118980173</v>
      </c>
      <c r="E20" s="201">
        <v>60.837887067395272</v>
      </c>
      <c r="F20" s="200">
        <v>20.684072050192267</v>
      </c>
      <c r="G20" s="200">
        <v>18.478040882412465</v>
      </c>
      <c r="H20" s="202">
        <v>70.90166152513936</v>
      </c>
      <c r="I20" s="200">
        <v>15.860258700005412</v>
      </c>
      <c r="J20" s="200">
        <v>13.238079774855224</v>
      </c>
      <c r="K20" s="201">
        <v>43.212283694857426</v>
      </c>
      <c r="L20" s="200">
        <v>29.100658055081645</v>
      </c>
      <c r="M20" s="203">
        <v>27.687058250060932</v>
      </c>
      <c r="N20" s="434"/>
      <c r="O20" s="202">
        <v>73.03096143400326</v>
      </c>
      <c r="P20" s="200">
        <v>12.466051059206952</v>
      </c>
      <c r="Q20" s="200">
        <v>14.502987506789788</v>
      </c>
      <c r="R20" s="201">
        <v>51.896987813290409</v>
      </c>
      <c r="S20" s="200">
        <v>23.614624051506095</v>
      </c>
      <c r="T20" s="200">
        <v>24.488388135203497</v>
      </c>
      <c r="U20" s="202">
        <v>67.289281021212688</v>
      </c>
      <c r="V20" s="200">
        <v>22.451661347850575</v>
      </c>
      <c r="W20" s="200">
        <v>10.259057630936736</v>
      </c>
      <c r="X20" s="201">
        <v>43.607954545454547</v>
      </c>
      <c r="Y20" s="200">
        <v>32.102272727272727</v>
      </c>
      <c r="Z20" s="203">
        <v>24.289772727272727</v>
      </c>
      <c r="AA20" s="200">
        <v>68.868821292775664</v>
      </c>
      <c r="AB20" s="204">
        <v>16.991444866920151</v>
      </c>
      <c r="AC20" s="200">
        <v>14.139733840304183</v>
      </c>
      <c r="AD20" s="201">
        <v>21.076746849942726</v>
      </c>
      <c r="AE20" s="200">
        <v>39.175257731958766</v>
      </c>
      <c r="AF20" s="205">
        <v>39.747995418098512</v>
      </c>
    </row>
    <row r="21" spans="1:32" x14ac:dyDescent="0.25">
      <c r="A21" s="199" t="s">
        <v>317</v>
      </c>
      <c r="B21" s="200">
        <v>74.363036303630352</v>
      </c>
      <c r="C21" s="200">
        <v>13.227722772277229</v>
      </c>
      <c r="D21" s="200">
        <v>12.409240924092408</v>
      </c>
      <c r="E21" s="201">
        <v>52.422920739960901</v>
      </c>
      <c r="F21" s="200">
        <v>27.140923447134906</v>
      </c>
      <c r="G21" s="200">
        <v>20.436155812904197</v>
      </c>
      <c r="H21" s="202">
        <v>77.528645036820933</v>
      </c>
      <c r="I21" s="200">
        <v>12.877914500152931</v>
      </c>
      <c r="J21" s="200">
        <v>9.5934404630261394</v>
      </c>
      <c r="K21" s="201">
        <v>60.163470022755774</v>
      </c>
      <c r="L21" s="200">
        <v>18.139599684205638</v>
      </c>
      <c r="M21" s="203">
        <v>21.696930293038591</v>
      </c>
      <c r="N21" s="434"/>
      <c r="O21" s="202">
        <v>78.429373977765664</v>
      </c>
      <c r="P21" s="200">
        <v>10.775831417261243</v>
      </c>
      <c r="Q21" s="200">
        <v>10.794794604973095</v>
      </c>
      <c r="R21" s="201">
        <v>54.116106503710171</v>
      </c>
      <c r="S21" s="200">
        <v>17.136621562636403</v>
      </c>
      <c r="T21" s="200">
        <v>28.74727193365343</v>
      </c>
      <c r="U21" s="202">
        <v>76.577388617048669</v>
      </c>
      <c r="V21" s="200">
        <v>14.88539788823075</v>
      </c>
      <c r="W21" s="200">
        <v>8.5372134947205769</v>
      </c>
      <c r="X21" s="201">
        <v>64.69826888852937</v>
      </c>
      <c r="Y21" s="200">
        <v>20.304157903251902</v>
      </c>
      <c r="Z21" s="203">
        <v>14.997573208218734</v>
      </c>
      <c r="AA21" s="200">
        <v>76.809868141216512</v>
      </c>
      <c r="AB21" s="204">
        <v>15.116971501488727</v>
      </c>
      <c r="AC21" s="200">
        <v>8.0731603572947694</v>
      </c>
      <c r="AD21" s="201">
        <v>70.728578758337619</v>
      </c>
      <c r="AE21" s="200">
        <v>17.650076962544894</v>
      </c>
      <c r="AF21" s="205">
        <v>11.621344279117496</v>
      </c>
    </row>
    <row r="22" spans="1:32" x14ac:dyDescent="0.25">
      <c r="A22" s="199" t="s">
        <v>318</v>
      </c>
      <c r="B22" s="200">
        <v>77.212297465724973</v>
      </c>
      <c r="C22" s="200">
        <v>12.456723445506162</v>
      </c>
      <c r="D22" s="200">
        <v>10.330979088768869</v>
      </c>
      <c r="E22" s="201">
        <v>41.769401330376937</v>
      </c>
      <c r="F22" s="200">
        <v>15.348115299334811</v>
      </c>
      <c r="G22" s="200">
        <v>42.882483370288249</v>
      </c>
      <c r="H22" s="202">
        <v>80.897298190531274</v>
      </c>
      <c r="I22" s="200">
        <v>9.923159547219699</v>
      </c>
      <c r="J22" s="200">
        <v>9.1795422622490292</v>
      </c>
      <c r="K22" s="201">
        <v>61.53142558473801</v>
      </c>
      <c r="L22" s="200">
        <v>16.47719848425454</v>
      </c>
      <c r="M22" s="203">
        <v>21.991375931007447</v>
      </c>
      <c r="N22" s="434"/>
      <c r="O22" s="202">
        <v>77.966514954486343</v>
      </c>
      <c r="P22" s="200">
        <v>10.224317295188555</v>
      </c>
      <c r="Q22" s="200">
        <v>11.809167750325097</v>
      </c>
      <c r="R22" s="201">
        <v>57.604431110085386</v>
      </c>
      <c r="S22" s="200">
        <v>11.977844449573045</v>
      </c>
      <c r="T22" s="200">
        <v>30.417724440341566</v>
      </c>
      <c r="U22" s="202">
        <v>84.646094087181694</v>
      </c>
      <c r="V22" s="200">
        <v>8.4592145015105746</v>
      </c>
      <c r="W22" s="200">
        <v>6.8946914113077256</v>
      </c>
      <c r="X22" s="201">
        <v>64.613015017327697</v>
      </c>
      <c r="Y22" s="200">
        <v>23.334616865614169</v>
      </c>
      <c r="Z22" s="203">
        <v>12.052368117058144</v>
      </c>
      <c r="AA22" s="200">
        <v>81.39711465451785</v>
      </c>
      <c r="AB22" s="204">
        <v>13.66742596810934</v>
      </c>
      <c r="AC22" s="200">
        <v>4.9354593773728164</v>
      </c>
      <c r="AD22" s="201">
        <v>73.9972337482711</v>
      </c>
      <c r="AE22" s="200">
        <v>18.810511756569849</v>
      </c>
      <c r="AF22" s="205">
        <v>7.1922544951590588</v>
      </c>
    </row>
    <row r="23" spans="1:32" x14ac:dyDescent="0.25">
      <c r="A23" s="199" t="s">
        <v>319</v>
      </c>
      <c r="B23" s="200">
        <v>72.808422393580713</v>
      </c>
      <c r="C23" s="200">
        <v>15.967881571072182</v>
      </c>
      <c r="D23" s="200">
        <v>11.22369603534711</v>
      </c>
      <c r="E23" s="201">
        <v>47.878561456633307</v>
      </c>
      <c r="F23" s="200">
        <v>24.919676740665</v>
      </c>
      <c r="G23" s="200">
        <v>27.201761802701689</v>
      </c>
      <c r="H23" s="202">
        <v>71.3537630860082</v>
      </c>
      <c r="I23" s="200">
        <v>15.594756437785398</v>
      </c>
      <c r="J23" s="200">
        <v>13.051480476206399</v>
      </c>
      <c r="K23" s="201">
        <v>46.137748146885912</v>
      </c>
      <c r="L23" s="200">
        <v>21.063730084348641</v>
      </c>
      <c r="M23" s="203">
        <v>32.79852176876544</v>
      </c>
      <c r="N23" s="434"/>
      <c r="O23" s="202">
        <v>71.157552228801251</v>
      </c>
      <c r="P23" s="200">
        <v>16.104811380478903</v>
      </c>
      <c r="Q23" s="200">
        <v>12.737636390719844</v>
      </c>
      <c r="R23" s="201">
        <v>48.096636516699945</v>
      </c>
      <c r="S23" s="200">
        <v>18.44943028309644</v>
      </c>
      <c r="T23" s="200">
        <v>33.453933200203615</v>
      </c>
      <c r="U23" s="202">
        <v>71.73143685328121</v>
      </c>
      <c r="V23" s="200">
        <v>15.376318716505445</v>
      </c>
      <c r="W23" s="200">
        <v>12.892244430213355</v>
      </c>
      <c r="X23" s="201">
        <v>41.232731137088201</v>
      </c>
      <c r="Y23" s="200">
        <v>27.898270698483241</v>
      </c>
      <c r="Z23" s="203">
        <v>30.868998164428557</v>
      </c>
      <c r="AA23" s="200">
        <v>71.467025572005383</v>
      </c>
      <c r="AB23" s="204">
        <v>12.15659884411369</v>
      </c>
      <c r="AC23" s="200">
        <v>16.376375583880929</v>
      </c>
      <c r="AD23" s="201">
        <v>43.622940295313498</v>
      </c>
      <c r="AE23" s="200">
        <v>23.780226835009628</v>
      </c>
      <c r="AF23" s="205">
        <v>32.596832869676867</v>
      </c>
    </row>
    <row r="24" spans="1:32" x14ac:dyDescent="0.25">
      <c r="A24" s="199" t="s">
        <v>320</v>
      </c>
      <c r="B24" s="200">
        <v>51.417797149713508</v>
      </c>
      <c r="C24" s="200">
        <v>24.144179440716979</v>
      </c>
      <c r="D24" s="200">
        <v>24.438023409569517</v>
      </c>
      <c r="E24" s="201">
        <v>37.728684846392817</v>
      </c>
      <c r="F24" s="200">
        <v>23.295034271906896</v>
      </c>
      <c r="G24" s="200">
        <v>38.976280881700283</v>
      </c>
      <c r="H24" s="202">
        <v>59.001896528911033</v>
      </c>
      <c r="I24" s="200">
        <v>21.818903541657477</v>
      </c>
      <c r="J24" s="200">
        <v>19.17919992943148</v>
      </c>
      <c r="K24" s="201">
        <v>50.500871080139376</v>
      </c>
      <c r="L24" s="200">
        <v>14.82288037166086</v>
      </c>
      <c r="M24" s="203">
        <v>34.676248548199766</v>
      </c>
      <c r="N24" s="434"/>
      <c r="O24" s="202">
        <v>64.885652334001549</v>
      </c>
      <c r="P24" s="200">
        <v>21.601276439062307</v>
      </c>
      <c r="Q24" s="200">
        <v>13.513071226936137</v>
      </c>
      <c r="R24" s="201">
        <v>47.755013077593723</v>
      </c>
      <c r="S24" s="200">
        <v>15.595030514385352</v>
      </c>
      <c r="T24" s="200">
        <v>36.64995640802092</v>
      </c>
      <c r="U24" s="202">
        <v>52.491034836065573</v>
      </c>
      <c r="V24" s="200">
        <v>25.332991803278688</v>
      </c>
      <c r="W24" s="200">
        <v>22.175973360655739</v>
      </c>
      <c r="X24" s="201">
        <v>59.88467874794069</v>
      </c>
      <c r="Y24" s="200">
        <v>11.614497528830313</v>
      </c>
      <c r="Z24" s="203">
        <v>28.500823723228997</v>
      </c>
      <c r="AA24" s="200">
        <v>51.011533371147664</v>
      </c>
      <c r="AB24" s="204">
        <v>12.459822272641331</v>
      </c>
      <c r="AC24" s="200">
        <v>36.528644356211004</v>
      </c>
      <c r="AD24" s="201">
        <v>51.61141804788214</v>
      </c>
      <c r="AE24" s="200">
        <v>15.193370165745856</v>
      </c>
      <c r="AF24" s="205">
        <v>33.195211786372006</v>
      </c>
    </row>
    <row r="25" spans="1:32" x14ac:dyDescent="0.25">
      <c r="A25" s="199" t="s">
        <v>321</v>
      </c>
      <c r="B25" s="200">
        <v>79.382841641234307</v>
      </c>
      <c r="C25" s="200">
        <v>8.7600316491466028</v>
      </c>
      <c r="D25" s="200">
        <v>11.857126709619079</v>
      </c>
      <c r="E25" s="201">
        <v>34.351325757575758</v>
      </c>
      <c r="F25" s="200">
        <v>22.017045454545457</v>
      </c>
      <c r="G25" s="200">
        <v>43.631628787878789</v>
      </c>
      <c r="H25" s="202">
        <v>76.709732988802756</v>
      </c>
      <c r="I25" s="200">
        <v>14.280792420327304</v>
      </c>
      <c r="J25" s="200">
        <v>9.0094745908699405</v>
      </c>
      <c r="K25" s="201">
        <v>67.112375533428164</v>
      </c>
      <c r="L25" s="200">
        <v>9.217638691322902</v>
      </c>
      <c r="M25" s="203">
        <v>23.669985775248932</v>
      </c>
      <c r="N25" s="434"/>
      <c r="O25" s="202">
        <v>77.544162826420887</v>
      </c>
      <c r="P25" s="200">
        <v>13.210445468509985</v>
      </c>
      <c r="Q25" s="200">
        <v>9.2453917050691246</v>
      </c>
      <c r="R25" s="201">
        <v>70.921155347384854</v>
      </c>
      <c r="S25" s="200">
        <v>12.646370023419204</v>
      </c>
      <c r="T25" s="200">
        <v>16.432474629195941</v>
      </c>
      <c r="U25" s="202">
        <v>77.191756898358364</v>
      </c>
      <c r="V25" s="200">
        <v>12.224938875305623</v>
      </c>
      <c r="W25" s="200">
        <v>10.583304226336011</v>
      </c>
      <c r="X25" s="201">
        <v>63.525835866261396</v>
      </c>
      <c r="Y25" s="200">
        <v>0</v>
      </c>
      <c r="Z25" s="203">
        <v>36.474164133738604</v>
      </c>
      <c r="AA25" s="200">
        <v>67.714061272584445</v>
      </c>
      <c r="AB25" s="204">
        <v>32.285938727415555</v>
      </c>
      <c r="AC25" s="200">
        <v>0</v>
      </c>
      <c r="AD25" s="201">
        <v>42.03389830508474</v>
      </c>
      <c r="AE25" s="200">
        <v>0</v>
      </c>
      <c r="AF25" s="205">
        <v>57.966101694915253</v>
      </c>
    </row>
    <row r="26" spans="1:32" x14ac:dyDescent="0.25">
      <c r="A26" s="199" t="s">
        <v>322</v>
      </c>
      <c r="B26" s="200">
        <v>74.241862381540997</v>
      </c>
      <c r="C26" s="200">
        <v>11.571899464359291</v>
      </c>
      <c r="D26" s="200">
        <v>14.186238154099712</v>
      </c>
      <c r="E26" s="201">
        <v>52.807871569135166</v>
      </c>
      <c r="F26" s="200">
        <v>20.905230450543762</v>
      </c>
      <c r="G26" s="200">
        <v>26.286897980321079</v>
      </c>
      <c r="H26" s="202">
        <v>79.534988713318285</v>
      </c>
      <c r="I26" s="200">
        <v>10.943566591422121</v>
      </c>
      <c r="J26" s="200">
        <v>9.5214446952595946</v>
      </c>
      <c r="K26" s="201">
        <v>42.522644927536227</v>
      </c>
      <c r="L26" s="200">
        <v>24.528985507246375</v>
      </c>
      <c r="M26" s="203">
        <v>32.948369565217391</v>
      </c>
      <c r="N26" s="434"/>
      <c r="O26" s="202">
        <v>79.087514206851765</v>
      </c>
      <c r="P26" s="200">
        <v>9.733723006981652</v>
      </c>
      <c r="Q26" s="200">
        <v>11.178762786166585</v>
      </c>
      <c r="R26" s="201">
        <v>42.40976302705495</v>
      </c>
      <c r="S26" s="200">
        <v>19.442112739717182</v>
      </c>
      <c r="T26" s="200">
        <v>38.148124233227868</v>
      </c>
      <c r="U26" s="202">
        <v>79.0453633343202</v>
      </c>
      <c r="V26" s="200">
        <v>13.470837856508439</v>
      </c>
      <c r="W26" s="200">
        <v>7.483798809171355</v>
      </c>
      <c r="X26" s="201">
        <v>44.575366829702091</v>
      </c>
      <c r="Y26" s="200">
        <v>35.726989773232546</v>
      </c>
      <c r="Z26" s="203">
        <v>19.697643397065363</v>
      </c>
      <c r="AA26" s="200">
        <v>83.661814109742437</v>
      </c>
      <c r="AB26" s="204">
        <v>9.0145576707726764</v>
      </c>
      <c r="AC26" s="200">
        <v>7.3236282194848821</v>
      </c>
      <c r="AD26" s="201">
        <v>38.902147971360385</v>
      </c>
      <c r="AE26" s="200">
        <v>38.090692124105011</v>
      </c>
      <c r="AF26" s="205">
        <v>23.007159904534607</v>
      </c>
    </row>
    <row r="27" spans="1:32" x14ac:dyDescent="0.25">
      <c r="A27" s="199" t="s">
        <v>323</v>
      </c>
      <c r="B27" s="200">
        <v>76.477232262084925</v>
      </c>
      <c r="C27" s="200">
        <v>14.870804771654944</v>
      </c>
      <c r="D27" s="200">
        <v>8.6519629662601272</v>
      </c>
      <c r="E27" s="201">
        <v>51.508632402760924</v>
      </c>
      <c r="F27" s="200">
        <v>23.297976412616169</v>
      </c>
      <c r="G27" s="200">
        <v>25.193391184622911</v>
      </c>
      <c r="H27" s="202">
        <v>72.705899639997057</v>
      </c>
      <c r="I27" s="200">
        <v>14.871305071878139</v>
      </c>
      <c r="J27" s="200">
        <v>12.422795288124801</v>
      </c>
      <c r="K27" s="201">
        <v>48.111693071072985</v>
      </c>
      <c r="L27" s="200">
        <v>22.904538747182539</v>
      </c>
      <c r="M27" s="203">
        <v>28.983768181744473</v>
      </c>
      <c r="N27" s="434"/>
      <c r="O27" s="202">
        <v>72.282883909355604</v>
      </c>
      <c r="P27" s="200">
        <v>15.743290289910114</v>
      </c>
      <c r="Q27" s="200">
        <v>11.97382580073427</v>
      </c>
      <c r="R27" s="201">
        <v>49.437442657781638</v>
      </c>
      <c r="S27" s="200">
        <v>22.743734608141388</v>
      </c>
      <c r="T27" s="200">
        <v>27.818822734076971</v>
      </c>
      <c r="U27" s="202">
        <v>74.136032388663963</v>
      </c>
      <c r="V27" s="200">
        <v>12.843724696356276</v>
      </c>
      <c r="W27" s="200">
        <v>13.020242914979757</v>
      </c>
      <c r="X27" s="201">
        <v>52.570409982174695</v>
      </c>
      <c r="Y27" s="200">
        <v>22.103386809269164</v>
      </c>
      <c r="Z27" s="203">
        <v>25.326203208556148</v>
      </c>
      <c r="AA27" s="200">
        <v>70.536494073611976</v>
      </c>
      <c r="AB27" s="204">
        <v>15.807860262008733</v>
      </c>
      <c r="AC27" s="200">
        <v>13.655645664379289</v>
      </c>
      <c r="AD27" s="201">
        <v>29.227557411273487</v>
      </c>
      <c r="AE27" s="200">
        <v>25.790910550827046</v>
      </c>
      <c r="AF27" s="205">
        <v>44.98153203789947</v>
      </c>
    </row>
    <row r="28" spans="1:32" x14ac:dyDescent="0.25">
      <c r="A28" s="199" t="s">
        <v>324</v>
      </c>
      <c r="B28" s="200">
        <v>64.372496223812959</v>
      </c>
      <c r="C28" s="200">
        <v>22.432192815393709</v>
      </c>
      <c r="D28" s="200">
        <v>13.195310960793327</v>
      </c>
      <c r="E28" s="201">
        <v>47.65030191651352</v>
      </c>
      <c r="F28" s="200">
        <v>24.02730375426621</v>
      </c>
      <c r="G28" s="200">
        <v>28.32239432922027</v>
      </c>
      <c r="H28" s="202">
        <v>71.832952383097066</v>
      </c>
      <c r="I28" s="200">
        <v>15.584430207289474</v>
      </c>
      <c r="J28" s="200">
        <v>12.582617409613459</v>
      </c>
      <c r="K28" s="201">
        <v>45.025777482122074</v>
      </c>
      <c r="L28" s="200">
        <v>22.747380675203726</v>
      </c>
      <c r="M28" s="203">
        <v>32.226841842674204</v>
      </c>
      <c r="N28" s="434"/>
      <c r="O28" s="202">
        <v>70.629488016413319</v>
      </c>
      <c r="P28" s="200">
        <v>15.999253940128696</v>
      </c>
      <c r="Q28" s="200">
        <v>13.371258043457987</v>
      </c>
      <c r="R28" s="201">
        <v>52.968742451326158</v>
      </c>
      <c r="S28" s="200">
        <v>14.517609546354896</v>
      </c>
      <c r="T28" s="200">
        <v>32.513648002318952</v>
      </c>
      <c r="U28" s="202">
        <v>75.655753773769845</v>
      </c>
      <c r="V28" s="200">
        <v>13.342481866300727</v>
      </c>
      <c r="W28" s="200">
        <v>11.001764359929425</v>
      </c>
      <c r="X28" s="201">
        <v>26.803713527851457</v>
      </c>
      <c r="Y28" s="200">
        <v>41.087533156498672</v>
      </c>
      <c r="Z28" s="203">
        <v>32.108753315649871</v>
      </c>
      <c r="AA28" s="200">
        <v>68.430826369545031</v>
      </c>
      <c r="AB28" s="204">
        <v>19.189105540080469</v>
      </c>
      <c r="AC28" s="200">
        <v>12.380068090374497</v>
      </c>
      <c r="AD28" s="201">
        <v>30.230010952902518</v>
      </c>
      <c r="AE28" s="200">
        <v>40.306681270536693</v>
      </c>
      <c r="AF28" s="205">
        <v>29.463307776560789</v>
      </c>
    </row>
    <row r="29" spans="1:32" x14ac:dyDescent="0.25">
      <c r="A29" s="199" t="s">
        <v>325</v>
      </c>
      <c r="B29" s="200">
        <v>72.249310601790725</v>
      </c>
      <c r="C29" s="200">
        <v>18.955519157515671</v>
      </c>
      <c r="D29" s="200">
        <v>8.7951702406935972</v>
      </c>
      <c r="E29" s="201">
        <v>51.654342118752481</v>
      </c>
      <c r="F29" s="200">
        <v>23.408172089022013</v>
      </c>
      <c r="G29" s="200">
        <v>24.937485792225505</v>
      </c>
      <c r="H29" s="202">
        <v>72.48446628952982</v>
      </c>
      <c r="I29" s="200">
        <v>15.393175867997346</v>
      </c>
      <c r="J29" s="200">
        <v>12.122357842472839</v>
      </c>
      <c r="K29" s="201">
        <v>51.499120922055084</v>
      </c>
      <c r="L29" s="200">
        <v>20.577456534479392</v>
      </c>
      <c r="M29" s="203">
        <v>27.92342254346552</v>
      </c>
      <c r="N29" s="434"/>
      <c r="O29" s="202">
        <v>75.311931860633081</v>
      </c>
      <c r="P29" s="200">
        <v>14.392033804032907</v>
      </c>
      <c r="Q29" s="200">
        <v>10.296034335334014</v>
      </c>
      <c r="R29" s="201">
        <v>57.841475045035494</v>
      </c>
      <c r="S29" s="200">
        <v>18.896365370350747</v>
      </c>
      <c r="T29" s="200">
        <v>23.262159584613755</v>
      </c>
      <c r="U29" s="202">
        <v>69.982509838216004</v>
      </c>
      <c r="V29" s="200">
        <v>16.728736637365621</v>
      </c>
      <c r="W29" s="200">
        <v>13.288753524418375</v>
      </c>
      <c r="X29" s="201">
        <v>45.493836113125454</v>
      </c>
      <c r="Y29" s="200">
        <v>23.721537345902828</v>
      </c>
      <c r="Z29" s="203">
        <v>30.784626540971722</v>
      </c>
      <c r="AA29" s="200">
        <v>65.045877418942794</v>
      </c>
      <c r="AB29" s="204">
        <v>16.758563430055563</v>
      </c>
      <c r="AC29" s="200">
        <v>18.195559151001639</v>
      </c>
      <c r="AD29" s="201">
        <v>36.406553735073587</v>
      </c>
      <c r="AE29" s="200">
        <v>21.605109691752293</v>
      </c>
      <c r="AF29" s="205">
        <v>41.988336573174116</v>
      </c>
    </row>
    <row r="30" spans="1:32" x14ac:dyDescent="0.25">
      <c r="A30" s="199" t="s">
        <v>326</v>
      </c>
      <c r="B30" s="200">
        <v>77.922253826357846</v>
      </c>
      <c r="C30" s="200">
        <v>16.761479073547338</v>
      </c>
      <c r="D30" s="200">
        <v>5.3162671000948123</v>
      </c>
      <c r="E30" s="201">
        <v>44.018278522735784</v>
      </c>
      <c r="F30" s="200">
        <v>19.994007041725972</v>
      </c>
      <c r="G30" s="200">
        <v>35.987714435538244</v>
      </c>
      <c r="H30" s="202">
        <v>75.61378568409728</v>
      </c>
      <c r="I30" s="200">
        <v>14.127636684980981</v>
      </c>
      <c r="J30" s="200">
        <v>10.258577630921735</v>
      </c>
      <c r="K30" s="201">
        <v>34.267360726547793</v>
      </c>
      <c r="L30" s="200">
        <v>34.843282755565404</v>
      </c>
      <c r="M30" s="203">
        <v>30.889356517886807</v>
      </c>
      <c r="N30" s="434"/>
      <c r="O30" s="202">
        <v>78.863760383192869</v>
      </c>
      <c r="P30" s="200">
        <v>9.6950221306008615</v>
      </c>
      <c r="Q30" s="200">
        <v>11.44121748620627</v>
      </c>
      <c r="R30" s="201">
        <v>31.013916500994039</v>
      </c>
      <c r="S30" s="200">
        <v>46.189529489728301</v>
      </c>
      <c r="T30" s="200">
        <v>22.796554009277667</v>
      </c>
      <c r="U30" s="202">
        <v>71.146801916032686</v>
      </c>
      <c r="V30" s="200">
        <v>19.836573682727529</v>
      </c>
      <c r="W30" s="200">
        <v>9.0166244012397847</v>
      </c>
      <c r="X30" s="201">
        <v>27.911728647323251</v>
      </c>
      <c r="Y30" s="200">
        <v>34.859011033919089</v>
      </c>
      <c r="Z30" s="203">
        <v>37.22926031875766</v>
      </c>
      <c r="AA30" s="200">
        <v>66.62561576354679</v>
      </c>
      <c r="AB30" s="204">
        <v>27.504105090311988</v>
      </c>
      <c r="AC30" s="200">
        <v>5.8702791461412147</v>
      </c>
      <c r="AD30" s="201">
        <v>49.002433090024333</v>
      </c>
      <c r="AE30" s="200">
        <v>9.8296836982968365</v>
      </c>
      <c r="AF30" s="205">
        <v>41.167883211678827</v>
      </c>
    </row>
    <row r="31" spans="1:32" x14ac:dyDescent="0.25">
      <c r="A31" s="199" t="s">
        <v>327</v>
      </c>
      <c r="B31" s="200">
        <v>55.961274128966707</v>
      </c>
      <c r="C31" s="200">
        <v>26.498535827406922</v>
      </c>
      <c r="D31" s="200">
        <v>17.540190043626367</v>
      </c>
      <c r="E31" s="201">
        <v>53.077739453435925</v>
      </c>
      <c r="F31" s="200">
        <v>26.996550809233216</v>
      </c>
      <c r="G31" s="200">
        <v>19.925709737330859</v>
      </c>
      <c r="H31" s="202">
        <v>64.104378754060292</v>
      </c>
      <c r="I31" s="200">
        <v>19.685339430562358</v>
      </c>
      <c r="J31" s="200">
        <v>16.210281815377357</v>
      </c>
      <c r="K31" s="201">
        <v>48.446787035998653</v>
      </c>
      <c r="L31" s="200">
        <v>21.924414040596613</v>
      </c>
      <c r="M31" s="203">
        <v>29.62879892340473</v>
      </c>
      <c r="N31" s="434"/>
      <c r="O31" s="202">
        <v>63.592580050419535</v>
      </c>
      <c r="P31" s="200">
        <v>22.82800918087068</v>
      </c>
      <c r="Q31" s="200">
        <v>13.579410768709788</v>
      </c>
      <c r="R31" s="201">
        <v>55.624426078971531</v>
      </c>
      <c r="S31" s="200">
        <v>16.299357208448118</v>
      </c>
      <c r="T31" s="200">
        <v>28.076216712580347</v>
      </c>
      <c r="U31" s="202">
        <v>67.348481269781274</v>
      </c>
      <c r="V31" s="200">
        <v>13.538665029051916</v>
      </c>
      <c r="W31" s="200">
        <v>19.112853701166802</v>
      </c>
      <c r="X31" s="201">
        <v>44.460911448684698</v>
      </c>
      <c r="Y31" s="200">
        <v>19.859207113745832</v>
      </c>
      <c r="Z31" s="203">
        <v>35.67988143756947</v>
      </c>
      <c r="AA31" s="200">
        <v>56.630434782608695</v>
      </c>
      <c r="AB31" s="204">
        <v>26.019021739130434</v>
      </c>
      <c r="AC31" s="200">
        <v>17.350543478260867</v>
      </c>
      <c r="AD31" s="201">
        <v>37.412775093934513</v>
      </c>
      <c r="AE31" s="200">
        <v>38.056897477187334</v>
      </c>
      <c r="AF31" s="205">
        <v>24.530327428878156</v>
      </c>
    </row>
    <row r="32" spans="1:32" x14ac:dyDescent="0.25">
      <c r="A32" s="199" t="s">
        <v>328</v>
      </c>
      <c r="B32" s="200">
        <v>77.039852490356438</v>
      </c>
      <c r="C32" s="200">
        <v>14.670648522075542</v>
      </c>
      <c r="D32" s="200">
        <v>8.289498987568015</v>
      </c>
      <c r="E32" s="201">
        <v>50.328755964156869</v>
      </c>
      <c r="F32" s="200">
        <v>18.667811008960783</v>
      </c>
      <c r="G32" s="200">
        <v>31.003433026882348</v>
      </c>
      <c r="H32" s="202">
        <v>78.942932819648448</v>
      </c>
      <c r="I32" s="200">
        <v>10.979154483849884</v>
      </c>
      <c r="J32" s="200">
        <v>10.077912696501668</v>
      </c>
      <c r="K32" s="201">
        <v>51.047068603776566</v>
      </c>
      <c r="L32" s="200">
        <v>19.955662879537627</v>
      </c>
      <c r="M32" s="203">
        <v>28.997268516685796</v>
      </c>
      <c r="N32" s="434"/>
      <c r="O32" s="202">
        <v>76.34517172249295</v>
      </c>
      <c r="P32" s="200">
        <v>12.880284472540499</v>
      </c>
      <c r="Q32" s="200">
        <v>10.774543804966562</v>
      </c>
      <c r="R32" s="201">
        <v>52.564659182534271</v>
      </c>
      <c r="S32" s="200">
        <v>15.208087824846492</v>
      </c>
      <c r="T32" s="200">
        <v>32.227252992619235</v>
      </c>
      <c r="U32" s="202">
        <v>83.194097862645108</v>
      </c>
      <c r="V32" s="200">
        <v>8.7040251708798966</v>
      </c>
      <c r="W32" s="200">
        <v>8.1018769664749914</v>
      </c>
      <c r="X32" s="201">
        <v>50.077214656745753</v>
      </c>
      <c r="Y32" s="200">
        <v>26.182788151059949</v>
      </c>
      <c r="Z32" s="203">
        <v>23.739997192194302</v>
      </c>
      <c r="AA32" s="200">
        <v>80.819568553118515</v>
      </c>
      <c r="AB32" s="204">
        <v>6.8237205523964253</v>
      </c>
      <c r="AC32" s="200">
        <v>12.356710894485062</v>
      </c>
      <c r="AD32" s="201">
        <v>42.332506203473947</v>
      </c>
      <c r="AE32" s="200">
        <v>35.930521091811414</v>
      </c>
      <c r="AF32" s="205">
        <v>21.736972704714642</v>
      </c>
    </row>
    <row r="33" spans="1:32" x14ac:dyDescent="0.25">
      <c r="A33" s="199" t="s">
        <v>329</v>
      </c>
      <c r="B33" s="200">
        <v>80.877947114758371</v>
      </c>
      <c r="C33" s="200">
        <v>14.139637879379965</v>
      </c>
      <c r="D33" s="200">
        <v>4.9824150058616645</v>
      </c>
      <c r="E33" s="201">
        <v>52.546728971962622</v>
      </c>
      <c r="F33" s="200">
        <v>25.093457943925234</v>
      </c>
      <c r="G33" s="200">
        <v>22.359813084112147</v>
      </c>
      <c r="H33" s="202">
        <v>73.87256199805843</v>
      </c>
      <c r="I33" s="200">
        <v>15.131056393963464</v>
      </c>
      <c r="J33" s="200">
        <v>10.996381607978114</v>
      </c>
      <c r="K33" s="201">
        <v>52.7385752688172</v>
      </c>
      <c r="L33" s="200">
        <v>22.815860215053764</v>
      </c>
      <c r="M33" s="203">
        <v>24.445564516129032</v>
      </c>
      <c r="N33" s="434"/>
      <c r="O33" s="202">
        <v>77.680865976170082</v>
      </c>
      <c r="P33" s="200">
        <v>14.710692313682735</v>
      </c>
      <c r="Q33" s="200">
        <v>7.6084417101471846</v>
      </c>
      <c r="R33" s="201">
        <v>48.501038883941824</v>
      </c>
      <c r="S33" s="200">
        <v>20.065301276343128</v>
      </c>
      <c r="T33" s="200">
        <v>31.433659839715052</v>
      </c>
      <c r="U33" s="202">
        <v>70.337632227213447</v>
      </c>
      <c r="V33" s="200">
        <v>15.548471236052746</v>
      </c>
      <c r="W33" s="200">
        <v>14.113896536733805</v>
      </c>
      <c r="X33" s="201">
        <v>66.857142857142861</v>
      </c>
      <c r="Y33" s="200">
        <v>15.584415584415584</v>
      </c>
      <c r="Z33" s="203">
        <v>17.558441558441558</v>
      </c>
      <c r="AA33" s="200">
        <v>65.524331734064418</v>
      </c>
      <c r="AB33" s="204">
        <v>15.969842357779301</v>
      </c>
      <c r="AC33" s="200">
        <v>18.505825908156272</v>
      </c>
      <c r="AD33" s="201">
        <v>33.079268292682926</v>
      </c>
      <c r="AE33" s="200">
        <v>58.231707317073166</v>
      </c>
      <c r="AF33" s="205">
        <v>8.6890243902439011</v>
      </c>
    </row>
    <row r="34" spans="1:32" x14ac:dyDescent="0.25">
      <c r="A34" s="199" t="s">
        <v>330</v>
      </c>
      <c r="B34" s="200">
        <v>80.206364209199748</v>
      </c>
      <c r="C34" s="200">
        <v>13.579080025204791</v>
      </c>
      <c r="D34" s="200">
        <v>6.2145557655954624</v>
      </c>
      <c r="E34" s="201">
        <v>51.942888125790709</v>
      </c>
      <c r="F34" s="200">
        <v>23.314657509488523</v>
      </c>
      <c r="G34" s="200">
        <v>24.742454364720768</v>
      </c>
      <c r="H34" s="202">
        <v>77.981158783618881</v>
      </c>
      <c r="I34" s="200">
        <v>12.388343827793234</v>
      </c>
      <c r="J34" s="200">
        <v>9.6304973885878837</v>
      </c>
      <c r="K34" s="201">
        <v>42.502106149957875</v>
      </c>
      <c r="L34" s="200">
        <v>21.96714406065712</v>
      </c>
      <c r="M34" s="203">
        <v>35.530749789385005</v>
      </c>
      <c r="N34" s="434"/>
      <c r="O34" s="202">
        <v>76.554574488070642</v>
      </c>
      <c r="P34" s="200">
        <v>13.498027428142025</v>
      </c>
      <c r="Q34" s="200">
        <v>9.9473980837873377</v>
      </c>
      <c r="R34" s="201">
        <v>39.539677086911709</v>
      </c>
      <c r="S34" s="200">
        <v>13.844039848849194</v>
      </c>
      <c r="T34" s="200">
        <v>46.616283064239092</v>
      </c>
      <c r="U34" s="202">
        <v>77.891258636227093</v>
      </c>
      <c r="V34" s="200">
        <v>12.556323220186242</v>
      </c>
      <c r="W34" s="200">
        <v>9.552418143586662</v>
      </c>
      <c r="X34" s="201">
        <v>60.386473429951693</v>
      </c>
      <c r="Y34" s="200">
        <v>21.900161030595815</v>
      </c>
      <c r="Z34" s="203">
        <v>17.713365539452496</v>
      </c>
      <c r="AA34" s="200">
        <v>82.940622054665411</v>
      </c>
      <c r="AB34" s="204">
        <v>8.3254791077599748</v>
      </c>
      <c r="AC34" s="200">
        <v>8.733898837574614</v>
      </c>
      <c r="AD34" s="201">
        <v>19.663865546218489</v>
      </c>
      <c r="AE34" s="200">
        <v>61.84873949579832</v>
      </c>
      <c r="AF34" s="205">
        <v>18.487394957983195</v>
      </c>
    </row>
    <row r="35" spans="1:32" x14ac:dyDescent="0.25">
      <c r="A35" s="199" t="s">
        <v>331</v>
      </c>
      <c r="B35" s="200">
        <v>75.89536469895954</v>
      </c>
      <c r="C35" s="200">
        <v>17.110225479444725</v>
      </c>
      <c r="D35" s="200">
        <v>6.9944098215957418</v>
      </c>
      <c r="E35" s="201">
        <v>48.411716171617165</v>
      </c>
      <c r="F35" s="200">
        <v>22.655390539053904</v>
      </c>
      <c r="G35" s="200">
        <v>28.932893289328931</v>
      </c>
      <c r="H35" s="202">
        <v>83.53644072822155</v>
      </c>
      <c r="I35" s="200">
        <v>8.9278301607068737</v>
      </c>
      <c r="J35" s="200">
        <v>7.5357291110715767</v>
      </c>
      <c r="K35" s="201">
        <v>47.238158772515007</v>
      </c>
      <c r="L35" s="200">
        <v>28.478985990660437</v>
      </c>
      <c r="M35" s="203">
        <v>24.282855236824549</v>
      </c>
      <c r="N35" s="434"/>
      <c r="O35" s="202">
        <v>81.320520434054956</v>
      </c>
      <c r="P35" s="200">
        <v>10.05236732710684</v>
      </c>
      <c r="Q35" s="200">
        <v>8.6271122388382011</v>
      </c>
      <c r="R35" s="201">
        <v>50.478634165597555</v>
      </c>
      <c r="S35" s="200">
        <v>29.951643146156126</v>
      </c>
      <c r="T35" s="200">
        <v>19.569722688246323</v>
      </c>
      <c r="U35" s="202">
        <v>87.621348160977163</v>
      </c>
      <c r="V35" s="200">
        <v>6.1391914680278932</v>
      </c>
      <c r="W35" s="200">
        <v>6.2394603709949408</v>
      </c>
      <c r="X35" s="201">
        <v>45.598194130925506</v>
      </c>
      <c r="Y35" s="200">
        <v>26.10045146726862</v>
      </c>
      <c r="Z35" s="203">
        <v>28.301354401805867</v>
      </c>
      <c r="AA35" s="200">
        <v>82.626668241407813</v>
      </c>
      <c r="AB35" s="204">
        <v>11.243651824731311</v>
      </c>
      <c r="AC35" s="200">
        <v>6.1296799338608716</v>
      </c>
      <c r="AD35" s="201">
        <v>26.600609756097558</v>
      </c>
      <c r="AE35" s="200">
        <v>23.551829268292682</v>
      </c>
      <c r="AF35" s="205">
        <v>49.847560975609753</v>
      </c>
    </row>
    <row r="36" spans="1:32" x14ac:dyDescent="0.25">
      <c r="A36" s="199" t="s">
        <v>332</v>
      </c>
      <c r="B36" s="200">
        <v>85.501858736059475</v>
      </c>
      <c r="C36" s="200">
        <v>11.572652335542266</v>
      </c>
      <c r="D36" s="200">
        <v>2.9254889283982544</v>
      </c>
      <c r="E36" s="201">
        <v>63.885317562355361</v>
      </c>
      <c r="F36" s="200">
        <v>10.722550784263307</v>
      </c>
      <c r="G36" s="200">
        <v>25.392131653381334</v>
      </c>
      <c r="H36" s="202">
        <v>82.702770570017577</v>
      </c>
      <c r="I36" s="200">
        <v>10.333138026282748</v>
      </c>
      <c r="J36" s="200">
        <v>6.9640914036996735</v>
      </c>
      <c r="K36" s="201">
        <v>71.165100195070053</v>
      </c>
      <c r="L36" s="200">
        <v>10.161376130519596</v>
      </c>
      <c r="M36" s="203">
        <v>18.673523674410355</v>
      </c>
      <c r="N36" s="434"/>
      <c r="O36" s="202">
        <v>83.435040950698564</v>
      </c>
      <c r="P36" s="200">
        <v>9.1938333065681714</v>
      </c>
      <c r="Q36" s="200">
        <v>7.371125742733259</v>
      </c>
      <c r="R36" s="201">
        <v>73.959206482257613</v>
      </c>
      <c r="S36" s="200">
        <v>3.6043587594300082</v>
      </c>
      <c r="T36" s="200">
        <v>22.43643475831238</v>
      </c>
      <c r="U36" s="202">
        <v>82.033333333333331</v>
      </c>
      <c r="V36" s="200">
        <v>13</v>
      </c>
      <c r="W36" s="200">
        <v>4.9666666666666668</v>
      </c>
      <c r="X36" s="201">
        <v>62.278015921616657</v>
      </c>
      <c r="Y36" s="200">
        <v>22.412737293325169</v>
      </c>
      <c r="Z36" s="203">
        <v>15.309246785058175</v>
      </c>
      <c r="AA36" s="200">
        <v>81.393442622950815</v>
      </c>
      <c r="AB36" s="204">
        <v>6.3524590163934427</v>
      </c>
      <c r="AC36" s="200">
        <v>12.254098360655737</v>
      </c>
      <c r="AD36" s="201">
        <v>81.775700934579447</v>
      </c>
      <c r="AE36" s="200">
        <v>18.22429906542056</v>
      </c>
      <c r="AF36" s="205">
        <v>0</v>
      </c>
    </row>
    <row r="37" spans="1:32" x14ac:dyDescent="0.25">
      <c r="A37" s="199" t="s">
        <v>333</v>
      </c>
      <c r="B37" s="200">
        <v>69.949867295782951</v>
      </c>
      <c r="C37" s="200">
        <v>22.860513122972577</v>
      </c>
      <c r="D37" s="200">
        <v>7.1896195812444708</v>
      </c>
      <c r="E37" s="201">
        <v>49.134494621307269</v>
      </c>
      <c r="F37" s="200">
        <v>20.750286681592311</v>
      </c>
      <c r="G37" s="200">
        <v>30.115218697100421</v>
      </c>
      <c r="H37" s="202">
        <v>72.481391858363708</v>
      </c>
      <c r="I37" s="200">
        <v>15.661469660305693</v>
      </c>
      <c r="J37" s="200">
        <v>11.857138481330596</v>
      </c>
      <c r="K37" s="201">
        <v>51.99748065502969</v>
      </c>
      <c r="L37" s="200">
        <v>24.932517545438184</v>
      </c>
      <c r="M37" s="203">
        <v>23.070001799532122</v>
      </c>
      <c r="N37" s="434"/>
      <c r="O37" s="202">
        <v>69.807165493903426</v>
      </c>
      <c r="P37" s="200">
        <v>19.804479776548316</v>
      </c>
      <c r="Q37" s="200">
        <v>10.388354729548261</v>
      </c>
      <c r="R37" s="201">
        <v>53.723067173637517</v>
      </c>
      <c r="S37" s="200">
        <v>26.758555133079849</v>
      </c>
      <c r="T37" s="200">
        <v>19.518377693282638</v>
      </c>
      <c r="U37" s="202">
        <v>77.870284715798135</v>
      </c>
      <c r="V37" s="200">
        <v>7.3594408469524097</v>
      </c>
      <c r="W37" s="200">
        <v>14.770274437249462</v>
      </c>
      <c r="X37" s="201">
        <v>56.630265210608421</v>
      </c>
      <c r="Y37" s="200">
        <v>27.862714508580343</v>
      </c>
      <c r="Z37" s="203">
        <v>15.507020280811231</v>
      </c>
      <c r="AA37" s="200">
        <v>71.867007672634273</v>
      </c>
      <c r="AB37" s="204">
        <v>16.507788886305512</v>
      </c>
      <c r="AC37" s="200">
        <v>11.625203441060219</v>
      </c>
      <c r="AD37" s="201">
        <v>35.879774577332498</v>
      </c>
      <c r="AE37" s="200">
        <v>11.834690043832186</v>
      </c>
      <c r="AF37" s="205">
        <v>52.285535378835313</v>
      </c>
    </row>
    <row r="38" spans="1:32" x14ac:dyDescent="0.25">
      <c r="A38" s="199" t="s">
        <v>334</v>
      </c>
      <c r="B38" s="200">
        <v>61.76265998887034</v>
      </c>
      <c r="C38" s="200">
        <v>26.064273789649416</v>
      </c>
      <c r="D38" s="200">
        <v>12.173066221480244</v>
      </c>
      <c r="E38" s="201">
        <v>50.191620656057154</v>
      </c>
      <c r="F38" s="200">
        <v>25.26144852224748</v>
      </c>
      <c r="G38" s="200">
        <v>24.546930821695355</v>
      </c>
      <c r="H38" s="202">
        <v>62.296164945586042</v>
      </c>
      <c r="I38" s="200">
        <v>19.505580473557941</v>
      </c>
      <c r="J38" s="200">
        <v>18.198254580856023</v>
      </c>
      <c r="K38" s="201">
        <v>55.289289024228779</v>
      </c>
      <c r="L38" s="200">
        <v>20.865881106844963</v>
      </c>
      <c r="M38" s="203">
        <v>23.844829868926254</v>
      </c>
      <c r="N38" s="434"/>
      <c r="O38" s="202">
        <v>59.73804100227791</v>
      </c>
      <c r="P38" s="200">
        <v>20.469501392052646</v>
      </c>
      <c r="Q38" s="200">
        <v>19.792457605669451</v>
      </c>
      <c r="R38" s="201">
        <v>55.294421487603309</v>
      </c>
      <c r="S38" s="200">
        <v>22.856404958677686</v>
      </c>
      <c r="T38" s="200">
        <v>21.849173553719009</v>
      </c>
      <c r="U38" s="202">
        <v>63.6408388303633</v>
      </c>
      <c r="V38" s="200">
        <v>19.001673722555871</v>
      </c>
      <c r="W38" s="200">
        <v>17.357487447080828</v>
      </c>
      <c r="X38" s="201">
        <v>61.170848267622461</v>
      </c>
      <c r="Y38" s="200">
        <v>26.523297491039425</v>
      </c>
      <c r="Z38" s="203">
        <v>12.305854241338112</v>
      </c>
      <c r="AA38" s="200">
        <v>71.857142857142847</v>
      </c>
      <c r="AB38" s="204">
        <v>15.892857142857142</v>
      </c>
      <c r="AC38" s="200">
        <v>12.25</v>
      </c>
      <c r="AD38" s="201">
        <v>50.373692077727952</v>
      </c>
      <c r="AE38" s="200">
        <v>12.306925759840558</v>
      </c>
      <c r="AF38" s="205">
        <v>37.319382162431495</v>
      </c>
    </row>
    <row r="39" spans="1:32" x14ac:dyDescent="0.25">
      <c r="A39" s="199" t="s">
        <v>335</v>
      </c>
      <c r="B39" s="200">
        <v>80.818006772458673</v>
      </c>
      <c r="C39" s="200">
        <v>13.777305623796559</v>
      </c>
      <c r="D39" s="200">
        <v>5.4046876037447715</v>
      </c>
      <c r="E39" s="201">
        <v>62.499128373195731</v>
      </c>
      <c r="F39" s="200">
        <v>17.997350254515027</v>
      </c>
      <c r="G39" s="200">
        <v>19.503521372289239</v>
      </c>
      <c r="H39" s="202">
        <v>81.930199430199437</v>
      </c>
      <c r="I39" s="200">
        <v>10.815527065527066</v>
      </c>
      <c r="J39" s="200">
        <v>7.2542735042735051</v>
      </c>
      <c r="K39" s="201">
        <v>54.367073462550849</v>
      </c>
      <c r="L39" s="200">
        <v>22.433596554199571</v>
      </c>
      <c r="M39" s="203">
        <v>23.19932998324958</v>
      </c>
      <c r="N39" s="434"/>
      <c r="O39" s="202">
        <v>81.701915278557607</v>
      </c>
      <c r="P39" s="200">
        <v>9.6075862499220168</v>
      </c>
      <c r="Q39" s="200">
        <v>8.6904984715203693</v>
      </c>
      <c r="R39" s="201">
        <v>53.869529983792539</v>
      </c>
      <c r="S39" s="200">
        <v>18.901944894651539</v>
      </c>
      <c r="T39" s="200">
        <v>27.228525121555911</v>
      </c>
      <c r="U39" s="202">
        <v>83.342731476260283</v>
      </c>
      <c r="V39" s="200">
        <v>11.954437803090109</v>
      </c>
      <c r="W39" s="200">
        <v>4.7028307206496001</v>
      </c>
      <c r="X39" s="201">
        <v>60.965435041716333</v>
      </c>
      <c r="Y39" s="200">
        <v>25.148986889153758</v>
      </c>
      <c r="Z39" s="203">
        <v>13.885578069129917</v>
      </c>
      <c r="AA39" s="200">
        <v>79.145728643216088</v>
      </c>
      <c r="AB39" s="204">
        <v>13.724874371859297</v>
      </c>
      <c r="AC39" s="200">
        <v>7.1293969849246226</v>
      </c>
      <c r="AD39" s="201">
        <v>49.426605504587158</v>
      </c>
      <c r="AE39" s="200">
        <v>29.816513761467888</v>
      </c>
      <c r="AF39" s="205">
        <v>20.756880733944953</v>
      </c>
    </row>
    <row r="40" spans="1:32" x14ac:dyDescent="0.25">
      <c r="A40" s="199" t="s">
        <v>336</v>
      </c>
      <c r="B40" s="200">
        <v>77.715117336729122</v>
      </c>
      <c r="C40" s="200">
        <v>13.43914862652356</v>
      </c>
      <c r="D40" s="200">
        <v>8.8457340367473165</v>
      </c>
      <c r="E40" s="201">
        <v>53.471796082133579</v>
      </c>
      <c r="F40" s="200">
        <v>21.741798442294076</v>
      </c>
      <c r="G40" s="200">
        <v>24.786405475572341</v>
      </c>
      <c r="H40" s="202">
        <v>77.902342334661867</v>
      </c>
      <c r="I40" s="200">
        <v>14.058270636629084</v>
      </c>
      <c r="J40" s="200">
        <v>8.0393870287090525</v>
      </c>
      <c r="K40" s="201">
        <v>55.300384212364648</v>
      </c>
      <c r="L40" s="200">
        <v>17.420537897310513</v>
      </c>
      <c r="M40" s="203">
        <v>27.279077890324832</v>
      </c>
      <c r="N40" s="434"/>
      <c r="O40" s="202">
        <v>77.797034469478149</v>
      </c>
      <c r="P40" s="200">
        <v>13.375698055074139</v>
      </c>
      <c r="Q40" s="200">
        <v>8.8272674754477176</v>
      </c>
      <c r="R40" s="201">
        <v>55.166596372838463</v>
      </c>
      <c r="S40" s="200">
        <v>20.230563756502178</v>
      </c>
      <c r="T40" s="200">
        <v>24.602839870659356</v>
      </c>
      <c r="U40" s="202">
        <v>80.885886861076827</v>
      </c>
      <c r="V40" s="200">
        <v>12.34006624667143</v>
      </c>
      <c r="W40" s="200">
        <v>6.7740468922517376</v>
      </c>
      <c r="X40" s="201">
        <v>57.166324435318273</v>
      </c>
      <c r="Y40" s="200">
        <v>11.909650924024641</v>
      </c>
      <c r="Z40" s="203">
        <v>30.924024640657084</v>
      </c>
      <c r="AA40" s="200">
        <v>70.13501350135013</v>
      </c>
      <c r="AB40" s="204">
        <v>22.016201620162015</v>
      </c>
      <c r="AC40" s="200">
        <v>7.8487848784878498</v>
      </c>
      <c r="AD40" s="201">
        <v>53.413865546218489</v>
      </c>
      <c r="AE40" s="200">
        <v>13.970588235294118</v>
      </c>
      <c r="AF40" s="205">
        <v>32.615546218487395</v>
      </c>
    </row>
    <row r="41" spans="1:32" x14ac:dyDescent="0.25">
      <c r="A41" s="199" t="s">
        <v>337</v>
      </c>
      <c r="B41" s="200">
        <v>76.781834746653587</v>
      </c>
      <c r="C41" s="200">
        <v>12.376480482164132</v>
      </c>
      <c r="D41" s="200">
        <v>10.841684771182283</v>
      </c>
      <c r="E41" s="201">
        <v>54.174114531612048</v>
      </c>
      <c r="F41" s="200">
        <v>19.064327485380119</v>
      </c>
      <c r="G41" s="200">
        <v>26.761557983007833</v>
      </c>
      <c r="H41" s="202">
        <v>77.223782277305062</v>
      </c>
      <c r="I41" s="200">
        <v>12.347718683360428</v>
      </c>
      <c r="J41" s="200">
        <v>10.428499039334502</v>
      </c>
      <c r="K41" s="201">
        <v>49.71696841726942</v>
      </c>
      <c r="L41" s="200">
        <v>23.541039579495934</v>
      </c>
      <c r="M41" s="203">
        <v>26.74199200323465</v>
      </c>
      <c r="N41" s="434"/>
      <c r="O41" s="202">
        <v>77.152224560348714</v>
      </c>
      <c r="P41" s="200">
        <v>11.751277619119193</v>
      </c>
      <c r="Q41" s="200">
        <v>11.09649782053209</v>
      </c>
      <c r="R41" s="201">
        <v>52.014521640091118</v>
      </c>
      <c r="S41" s="200">
        <v>22.604641230068339</v>
      </c>
      <c r="T41" s="200">
        <v>25.380837129840543</v>
      </c>
      <c r="U41" s="202">
        <v>77.766287487073427</v>
      </c>
      <c r="V41" s="200">
        <v>13.711866597724923</v>
      </c>
      <c r="W41" s="200">
        <v>8.5218459152016557</v>
      </c>
      <c r="X41" s="201">
        <v>41.999048072346504</v>
      </c>
      <c r="Y41" s="200">
        <v>32.175154688243694</v>
      </c>
      <c r="Z41" s="203">
        <v>25.825797239409802</v>
      </c>
      <c r="AA41" s="200">
        <v>75.992044701202772</v>
      </c>
      <c r="AB41" s="204">
        <v>11.355241973671749</v>
      </c>
      <c r="AC41" s="200">
        <v>12.652713325125486</v>
      </c>
      <c r="AD41" s="201">
        <v>52.518593644354297</v>
      </c>
      <c r="AE41" s="200">
        <v>12.643678160919542</v>
      </c>
      <c r="AF41" s="205">
        <v>34.837728194726161</v>
      </c>
    </row>
    <row r="42" spans="1:32" x14ac:dyDescent="0.25">
      <c r="A42" s="199" t="s">
        <v>338</v>
      </c>
      <c r="B42" s="200">
        <v>92.173279941754643</v>
      </c>
      <c r="C42" s="200">
        <v>6.4943574808882421</v>
      </c>
      <c r="D42" s="200">
        <v>1.3323625773571168</v>
      </c>
      <c r="E42" s="201">
        <v>78.828423656397575</v>
      </c>
      <c r="F42" s="200">
        <v>8.2977288059365861</v>
      </c>
      <c r="G42" s="200">
        <v>12.873847537665842</v>
      </c>
      <c r="H42" s="202">
        <v>87.862387048192772</v>
      </c>
      <c r="I42" s="200">
        <v>9.4738328313253017</v>
      </c>
      <c r="J42" s="200">
        <v>2.663780120481928</v>
      </c>
      <c r="K42" s="201">
        <v>62.022397891963109</v>
      </c>
      <c r="L42" s="200">
        <v>12.961133069828723</v>
      </c>
      <c r="M42" s="203">
        <v>25.016469038208168</v>
      </c>
      <c r="N42" s="434"/>
      <c r="O42" s="202">
        <v>88.008275642555901</v>
      </c>
      <c r="P42" s="200">
        <v>9.9705578101376613</v>
      </c>
      <c r="Q42" s="200">
        <v>2.0211665473064375</v>
      </c>
      <c r="R42" s="201">
        <v>88.73846153846155</v>
      </c>
      <c r="S42" s="200">
        <v>7.5692307692307699</v>
      </c>
      <c r="T42" s="200">
        <v>3.6923076923076925</v>
      </c>
      <c r="U42" s="202">
        <v>85.905318167845067</v>
      </c>
      <c r="V42" s="200">
        <v>11.020596372579158</v>
      </c>
      <c r="W42" s="200">
        <v>3.0740854595757758</v>
      </c>
      <c r="X42" s="201">
        <v>41.487279843444227</v>
      </c>
      <c r="Y42" s="200">
        <v>32.87671232876712</v>
      </c>
      <c r="Z42" s="203">
        <v>25.636007827788649</v>
      </c>
      <c r="AA42" s="200">
        <v>92.870285188592462</v>
      </c>
      <c r="AB42" s="204">
        <v>1.9779208831646733</v>
      </c>
      <c r="AC42" s="200">
        <v>5.1517939282428706</v>
      </c>
      <c r="AD42" s="201">
        <v>25.388888888888889</v>
      </c>
      <c r="AE42" s="200">
        <v>11.388888888888889</v>
      </c>
      <c r="AF42" s="205">
        <v>63.222222222222221</v>
      </c>
    </row>
    <row r="43" spans="1:32" x14ac:dyDescent="0.25">
      <c r="A43" s="199" t="s">
        <v>339</v>
      </c>
      <c r="B43" s="200">
        <v>84.88644688644689</v>
      </c>
      <c r="C43" s="200">
        <v>12.608058608058609</v>
      </c>
      <c r="D43" s="200">
        <v>2.5054945054945055</v>
      </c>
      <c r="E43" s="201">
        <v>44.000803575912812</v>
      </c>
      <c r="F43" s="200">
        <v>18.406910752850184</v>
      </c>
      <c r="G43" s="200">
        <v>37.592285671237001</v>
      </c>
      <c r="H43" s="202">
        <v>78.577793619675646</v>
      </c>
      <c r="I43" s="200">
        <v>11.965781500623775</v>
      </c>
      <c r="J43" s="200">
        <v>9.4564248797005881</v>
      </c>
      <c r="K43" s="201">
        <v>61.011523687580024</v>
      </c>
      <c r="L43" s="200">
        <v>23.149807938540331</v>
      </c>
      <c r="M43" s="203">
        <v>15.838668373879642</v>
      </c>
      <c r="N43" s="434"/>
      <c r="O43" s="202">
        <v>77.993718099725157</v>
      </c>
      <c r="P43" s="200">
        <v>13.087292239235701</v>
      </c>
      <c r="Q43" s="200">
        <v>8.9189896610391308</v>
      </c>
      <c r="R43" s="201">
        <v>66.076833527357394</v>
      </c>
      <c r="S43" s="200">
        <v>20.628637951105937</v>
      </c>
      <c r="T43" s="200">
        <v>13.29452852153667</v>
      </c>
      <c r="U43" s="202">
        <v>80.585969180859692</v>
      </c>
      <c r="V43" s="200">
        <v>10.979318734793187</v>
      </c>
      <c r="W43" s="200">
        <v>8.4347120843471206</v>
      </c>
      <c r="X43" s="201">
        <v>56.388993592159821</v>
      </c>
      <c r="Y43" s="200">
        <v>28.081417263475313</v>
      </c>
      <c r="Z43" s="203">
        <v>15.52958914436487</v>
      </c>
      <c r="AA43" s="200">
        <v>74.83671364730148</v>
      </c>
      <c r="AB43" s="204">
        <v>9.4190443451357844</v>
      </c>
      <c r="AC43" s="200">
        <v>15.744242007562736</v>
      </c>
      <c r="AD43" s="201">
        <v>50</v>
      </c>
      <c r="AE43" s="200">
        <v>20.533642691415313</v>
      </c>
      <c r="AF43" s="205">
        <v>29.466357308584683</v>
      </c>
    </row>
    <row r="44" spans="1:32" x14ac:dyDescent="0.25">
      <c r="A44" s="199" t="s">
        <v>340</v>
      </c>
      <c r="B44" s="200">
        <v>85.646005999898307</v>
      </c>
      <c r="C44" s="200">
        <v>10.418467483601972</v>
      </c>
      <c r="D44" s="200">
        <v>3.9355265164997202</v>
      </c>
      <c r="E44" s="201">
        <v>51.748508009632502</v>
      </c>
      <c r="F44" s="200">
        <v>15.977384567061041</v>
      </c>
      <c r="G44" s="200">
        <v>32.274107423306461</v>
      </c>
      <c r="H44" s="202">
        <v>78.275301928102266</v>
      </c>
      <c r="I44" s="200">
        <v>13.150646232078536</v>
      </c>
      <c r="J44" s="200">
        <v>8.5740518398191963</v>
      </c>
      <c r="K44" s="201">
        <v>60.323263421204544</v>
      </c>
      <c r="L44" s="200">
        <v>16.27862228208582</v>
      </c>
      <c r="M44" s="203">
        <v>23.39811429670964</v>
      </c>
      <c r="N44" s="434"/>
      <c r="O44" s="202">
        <v>80.799353555445052</v>
      </c>
      <c r="P44" s="200">
        <v>11.611138736946792</v>
      </c>
      <c r="Q44" s="200">
        <v>7.5895077076081545</v>
      </c>
      <c r="R44" s="201">
        <v>63.847080072245632</v>
      </c>
      <c r="S44" s="200">
        <v>9.0608067429259478</v>
      </c>
      <c r="T44" s="200">
        <v>27.092113184828413</v>
      </c>
      <c r="U44" s="202">
        <v>82.835564709921044</v>
      </c>
      <c r="V44" s="200">
        <v>9.9096006408055839</v>
      </c>
      <c r="W44" s="200">
        <v>7.2548346492733726</v>
      </c>
      <c r="X44" s="201">
        <v>70.811287477954139</v>
      </c>
      <c r="Y44" s="200">
        <v>19.488536155202819</v>
      </c>
      <c r="Z44" s="203">
        <v>9.7001763668430332</v>
      </c>
      <c r="AA44" s="200">
        <v>55.227728444571753</v>
      </c>
      <c r="AB44" s="204">
        <v>28.358636493841306</v>
      </c>
      <c r="AC44" s="200">
        <v>16.413635061586938</v>
      </c>
      <c r="AD44" s="201">
        <v>28.513513513513512</v>
      </c>
      <c r="AE44" s="200">
        <v>43.648648648648646</v>
      </c>
      <c r="AF44" s="205">
        <v>27.837837837837835</v>
      </c>
    </row>
    <row r="45" spans="1:32" x14ac:dyDescent="0.25">
      <c r="A45" s="199" t="s">
        <v>341</v>
      </c>
      <c r="B45" s="200">
        <v>74.657149731333703</v>
      </c>
      <c r="C45" s="200">
        <v>16.488892453284144</v>
      </c>
      <c r="D45" s="200">
        <v>8.853957815382147</v>
      </c>
      <c r="E45" s="201">
        <v>32.373044635075004</v>
      </c>
      <c r="F45" s="200">
        <v>15.748428827010413</v>
      </c>
      <c r="G45" s="200">
        <v>51.878526537914581</v>
      </c>
      <c r="H45" s="202">
        <v>78.30168274430072</v>
      </c>
      <c r="I45" s="200">
        <v>13.237011722974435</v>
      </c>
      <c r="J45" s="200">
        <v>8.4613055327248343</v>
      </c>
      <c r="K45" s="201">
        <v>59.045801526717554</v>
      </c>
      <c r="L45" s="200">
        <v>13.664122137404581</v>
      </c>
      <c r="M45" s="203">
        <v>27.29007633587786</v>
      </c>
      <c r="N45" s="434"/>
      <c r="O45" s="202">
        <v>78.335870116692035</v>
      </c>
      <c r="P45" s="200">
        <v>13.807349423787779</v>
      </c>
      <c r="Q45" s="200">
        <v>7.8567804595201851</v>
      </c>
      <c r="R45" s="201">
        <v>54.594748858447481</v>
      </c>
      <c r="S45" s="200">
        <v>12.043378995433789</v>
      </c>
      <c r="T45" s="200">
        <v>33.361872146118721</v>
      </c>
      <c r="U45" s="202">
        <v>78.284547311095992</v>
      </c>
      <c r="V45" s="200">
        <v>11.463580667120491</v>
      </c>
      <c r="W45" s="200">
        <v>10.251872021783527</v>
      </c>
      <c r="X45" s="201">
        <v>71.317157712305018</v>
      </c>
      <c r="Y45" s="200">
        <v>17.417677642980937</v>
      </c>
      <c r="Z45" s="203">
        <v>11.265164644714037</v>
      </c>
      <c r="AA45" s="200">
        <v>78.115501519756833</v>
      </c>
      <c r="AB45" s="204">
        <v>15.856129685916919</v>
      </c>
      <c r="AC45" s="200">
        <v>6.0283687943262407</v>
      </c>
      <c r="AD45" s="201">
        <v>61.724137931034484</v>
      </c>
      <c r="AE45" s="200">
        <v>15.862068965517242</v>
      </c>
      <c r="AF45" s="205">
        <v>22.413793103448278</v>
      </c>
    </row>
    <row r="46" spans="1:32" x14ac:dyDescent="0.25">
      <c r="A46" s="199" t="s">
        <v>342</v>
      </c>
      <c r="B46" s="200">
        <v>76.598532494758913</v>
      </c>
      <c r="C46" s="200">
        <v>14.033018867924529</v>
      </c>
      <c r="D46" s="200">
        <v>9.3684486373165612</v>
      </c>
      <c r="E46" s="201">
        <v>54.858139166270405</v>
      </c>
      <c r="F46" s="200">
        <v>21.429703598034557</v>
      </c>
      <c r="G46" s="200">
        <v>23.712157235695038</v>
      </c>
      <c r="H46" s="202">
        <v>74.631881224414983</v>
      </c>
      <c r="I46" s="200">
        <v>13.777723467953809</v>
      </c>
      <c r="J46" s="200">
        <v>11.590395307631209</v>
      </c>
      <c r="K46" s="201">
        <v>64.840693124650642</v>
      </c>
      <c r="L46" s="200">
        <v>19.731693683622133</v>
      </c>
      <c r="M46" s="203">
        <v>15.427613191727222</v>
      </c>
      <c r="N46" s="434"/>
      <c r="O46" s="202">
        <v>83.255269320843098</v>
      </c>
      <c r="P46" s="200">
        <v>8.5011709601873537</v>
      </c>
      <c r="Q46" s="200">
        <v>8.2435597189695553</v>
      </c>
      <c r="R46" s="201">
        <v>67.995746943115364</v>
      </c>
      <c r="S46" s="200">
        <v>13.131313131313133</v>
      </c>
      <c r="T46" s="200">
        <v>18.872939925571504</v>
      </c>
      <c r="U46" s="202">
        <v>70.657112897588263</v>
      </c>
      <c r="V46" s="200">
        <v>14.627752534078994</v>
      </c>
      <c r="W46" s="200">
        <v>14.715134568332749</v>
      </c>
      <c r="X46" s="201">
        <v>62.532299741602074</v>
      </c>
      <c r="Y46" s="200">
        <v>19.12144702842377</v>
      </c>
      <c r="Z46" s="203">
        <v>18.34625322997416</v>
      </c>
      <c r="AA46" s="200">
        <v>50.475285171102655</v>
      </c>
      <c r="AB46" s="204">
        <v>32.889733840304181</v>
      </c>
      <c r="AC46" s="200">
        <v>16.634980988593156</v>
      </c>
      <c r="AD46" s="201">
        <v>60.389610389610397</v>
      </c>
      <c r="AE46" s="200">
        <v>33.658008658008661</v>
      </c>
      <c r="AF46" s="205">
        <v>5.9523809523809517</v>
      </c>
    </row>
    <row r="47" spans="1:32" x14ac:dyDescent="0.25">
      <c r="A47" s="199" t="s">
        <v>343</v>
      </c>
      <c r="B47" s="200">
        <v>74.940853600832781</v>
      </c>
      <c r="C47" s="200">
        <v>16.103592946594745</v>
      </c>
      <c r="D47" s="200">
        <v>8.9555534525724738</v>
      </c>
      <c r="E47" s="201">
        <v>54.706229121634898</v>
      </c>
      <c r="F47" s="200">
        <v>22.951463941835332</v>
      </c>
      <c r="G47" s="200">
        <v>22.34230693652977</v>
      </c>
      <c r="H47" s="202">
        <v>74.527733008803949</v>
      </c>
      <c r="I47" s="200">
        <v>14.367003256257608</v>
      </c>
      <c r="J47" s="200">
        <v>11.105263734938438</v>
      </c>
      <c r="K47" s="201">
        <v>47.355433466803241</v>
      </c>
      <c r="L47" s="200">
        <v>24.87196200763572</v>
      </c>
      <c r="M47" s="203">
        <v>27.772604525561039</v>
      </c>
      <c r="N47" s="434"/>
      <c r="O47" s="202">
        <v>75.185088730979572</v>
      </c>
      <c r="P47" s="200">
        <v>13.348710889542021</v>
      </c>
      <c r="Q47" s="200">
        <v>11.466200379478403</v>
      </c>
      <c r="R47" s="201">
        <v>48.018670222899601</v>
      </c>
      <c r="S47" s="200">
        <v>25.700133358734995</v>
      </c>
      <c r="T47" s="200">
        <v>26.281196418365404</v>
      </c>
      <c r="U47" s="202">
        <v>72.449014803823459</v>
      </c>
      <c r="V47" s="200">
        <v>16.056454674074331</v>
      </c>
      <c r="W47" s="200">
        <v>11.494530522102211</v>
      </c>
      <c r="X47" s="201">
        <v>53.724928366762178</v>
      </c>
      <c r="Y47" s="200">
        <v>27.449856733524353</v>
      </c>
      <c r="Z47" s="203">
        <v>18.825214899713465</v>
      </c>
      <c r="AA47" s="200">
        <v>77.469609347338604</v>
      </c>
      <c r="AB47" s="204">
        <v>15.047798890593651</v>
      </c>
      <c r="AC47" s="200">
        <v>7.4825917620677442</v>
      </c>
      <c r="AD47" s="201">
        <v>34.491377155711071</v>
      </c>
      <c r="AE47" s="200">
        <v>18.220444888777806</v>
      </c>
      <c r="AF47" s="205">
        <v>47.288177955511124</v>
      </c>
    </row>
    <row r="48" spans="1:32" x14ac:dyDescent="0.25">
      <c r="A48" s="199" t="s">
        <v>344</v>
      </c>
      <c r="B48" s="200">
        <v>69.460382812842198</v>
      </c>
      <c r="C48" s="200">
        <v>18.822118075326433</v>
      </c>
      <c r="D48" s="200">
        <v>11.71749911183138</v>
      </c>
      <c r="E48" s="201">
        <v>52.941342902816615</v>
      </c>
      <c r="F48" s="200">
        <v>21.121317721620461</v>
      </c>
      <c r="G48" s="200">
        <v>25.937339375562924</v>
      </c>
      <c r="H48" s="202">
        <v>67.583700585410782</v>
      </c>
      <c r="I48" s="200">
        <v>18.893250734005846</v>
      </c>
      <c r="J48" s="200">
        <v>13.523048680583377</v>
      </c>
      <c r="K48" s="201">
        <v>49.264325146776493</v>
      </c>
      <c r="L48" s="200">
        <v>23.337263305478327</v>
      </c>
      <c r="M48" s="203">
        <v>27.398411547745177</v>
      </c>
      <c r="N48" s="434"/>
      <c r="O48" s="202">
        <v>71.632741890058114</v>
      </c>
      <c r="P48" s="200">
        <v>17.292162736513301</v>
      </c>
      <c r="Q48" s="200">
        <v>11.075095373428578</v>
      </c>
      <c r="R48" s="201">
        <v>50.080349870486288</v>
      </c>
      <c r="S48" s="200">
        <v>22.472281129154162</v>
      </c>
      <c r="T48" s="200">
        <v>27.447369000359558</v>
      </c>
      <c r="U48" s="202">
        <v>64.136327272907963</v>
      </c>
      <c r="V48" s="200">
        <v>20.895796791071845</v>
      </c>
      <c r="W48" s="200">
        <v>14.967875936020194</v>
      </c>
      <c r="X48" s="201">
        <v>50.305214488259367</v>
      </c>
      <c r="Y48" s="200">
        <v>24.908854712316138</v>
      </c>
      <c r="Z48" s="203">
        <v>24.785930799424495</v>
      </c>
      <c r="AA48" s="200">
        <v>56.071687934433037</v>
      </c>
      <c r="AB48" s="204">
        <v>21.776117854549227</v>
      </c>
      <c r="AC48" s="200">
        <v>22.15219421101774</v>
      </c>
      <c r="AD48" s="201">
        <v>44.965619429074152</v>
      </c>
      <c r="AE48" s="200">
        <v>23.462135068182345</v>
      </c>
      <c r="AF48" s="205">
        <v>31.572245502743502</v>
      </c>
    </row>
    <row r="49" spans="1:32" x14ac:dyDescent="0.25">
      <c r="A49" s="199" t="s">
        <v>345</v>
      </c>
      <c r="B49" s="200">
        <v>79.596318132595357</v>
      </c>
      <c r="C49" s="200">
        <v>12.038262543616893</v>
      </c>
      <c r="D49" s="200">
        <v>8.3654193237877514</v>
      </c>
      <c r="E49" s="201">
        <v>44.191125871405916</v>
      </c>
      <c r="F49" s="200">
        <v>21.616850671693143</v>
      </c>
      <c r="G49" s="200">
        <v>34.192023456900941</v>
      </c>
      <c r="H49" s="202">
        <v>79.038791623755571</v>
      </c>
      <c r="I49" s="200">
        <v>11.507037418468933</v>
      </c>
      <c r="J49" s="200">
        <v>9.4541709577754887</v>
      </c>
      <c r="K49" s="201">
        <v>47.300696594427244</v>
      </c>
      <c r="L49" s="200">
        <v>25.338622291021672</v>
      </c>
      <c r="M49" s="203">
        <v>27.360681114551085</v>
      </c>
      <c r="N49" s="434"/>
      <c r="O49" s="202">
        <v>79.984597895045667</v>
      </c>
      <c r="P49" s="200">
        <v>10.840148153580989</v>
      </c>
      <c r="Q49" s="200">
        <v>9.1752539513733549</v>
      </c>
      <c r="R49" s="201">
        <v>58.328025477707001</v>
      </c>
      <c r="S49" s="200">
        <v>22.436305732484076</v>
      </c>
      <c r="T49" s="200">
        <v>19.235668789808919</v>
      </c>
      <c r="U49" s="202">
        <v>77.779458478293748</v>
      </c>
      <c r="V49" s="200">
        <v>13.008621993646951</v>
      </c>
      <c r="W49" s="200">
        <v>9.2119195280592958</v>
      </c>
      <c r="X49" s="201">
        <v>28.955768353853166</v>
      </c>
      <c r="Y49" s="200">
        <v>34.929320565435482</v>
      </c>
      <c r="Z49" s="203">
        <v>36.114911080711352</v>
      </c>
      <c r="AA49" s="200">
        <v>76.217228464419478</v>
      </c>
      <c r="AB49" s="204">
        <v>10.955056179775282</v>
      </c>
      <c r="AC49" s="200">
        <v>12.827715355805244</v>
      </c>
      <c r="AD49" s="201">
        <v>31.706008583690988</v>
      </c>
      <c r="AE49" s="200">
        <v>23.873390557939913</v>
      </c>
      <c r="AF49" s="205">
        <v>44.420600858369099</v>
      </c>
    </row>
    <row r="50" spans="1:32" x14ac:dyDescent="0.25">
      <c r="A50" s="199" t="s">
        <v>346</v>
      </c>
      <c r="B50" s="200">
        <v>80.131338927398758</v>
      </c>
      <c r="C50" s="200">
        <v>12.871214885078439</v>
      </c>
      <c r="D50" s="200">
        <v>6.9974461875228018</v>
      </c>
      <c r="E50" s="201">
        <v>60.287210495060194</v>
      </c>
      <c r="F50" s="200">
        <v>20.21810721805323</v>
      </c>
      <c r="G50" s="200">
        <v>19.494682286886572</v>
      </c>
      <c r="H50" s="202">
        <v>81.874591770084919</v>
      </c>
      <c r="I50" s="200">
        <v>10.258817766165905</v>
      </c>
      <c r="J50" s="200">
        <v>7.8665904637491835</v>
      </c>
      <c r="K50" s="201">
        <v>50.896893685285107</v>
      </c>
      <c r="L50" s="200">
        <v>29.429779787078896</v>
      </c>
      <c r="M50" s="203">
        <v>19.673326527635993</v>
      </c>
      <c r="N50" s="434"/>
      <c r="O50" s="202">
        <v>81.411033646559559</v>
      </c>
      <c r="P50" s="200">
        <v>9.9272506820248552</v>
      </c>
      <c r="Q50" s="200">
        <v>8.6617156714155801</v>
      </c>
      <c r="R50" s="201">
        <v>49.844012479001684</v>
      </c>
      <c r="S50" s="200">
        <v>25.413966882649387</v>
      </c>
      <c r="T50" s="200">
        <v>24.742020638348933</v>
      </c>
      <c r="U50" s="202">
        <v>82.006681257919595</v>
      </c>
      <c r="V50" s="200">
        <v>9.6532657527934571</v>
      </c>
      <c r="W50" s="200">
        <v>8.3400529892869493</v>
      </c>
      <c r="X50" s="201">
        <v>57.329317269076306</v>
      </c>
      <c r="Y50" s="200">
        <v>33.584337349397593</v>
      </c>
      <c r="Z50" s="203">
        <v>9.0863453815261046</v>
      </c>
      <c r="AA50" s="200">
        <v>83.804430863254396</v>
      </c>
      <c r="AB50" s="204">
        <v>13.941940412528647</v>
      </c>
      <c r="AC50" s="200">
        <v>2.2536287242169597</v>
      </c>
      <c r="AD50" s="201">
        <v>38.793103448275865</v>
      </c>
      <c r="AE50" s="200">
        <v>41.522988505747129</v>
      </c>
      <c r="AF50" s="205">
        <v>19.683908045977009</v>
      </c>
    </row>
    <row r="51" spans="1:32" x14ac:dyDescent="0.25">
      <c r="A51" s="199" t="s">
        <v>347</v>
      </c>
      <c r="B51" s="200">
        <v>67.535859951422935</v>
      </c>
      <c r="C51" s="200">
        <v>24.572659364832042</v>
      </c>
      <c r="D51" s="200">
        <v>7.8914806837450167</v>
      </c>
      <c r="E51" s="201">
        <v>49.367941145995232</v>
      </c>
      <c r="F51" s="200">
        <v>23.054605740337788</v>
      </c>
      <c r="G51" s="200">
        <v>27.577453113666976</v>
      </c>
      <c r="H51" s="202">
        <v>70.120641947980076</v>
      </c>
      <c r="I51" s="200">
        <v>17.308245711123408</v>
      </c>
      <c r="J51" s="200">
        <v>12.571112340896514</v>
      </c>
      <c r="K51" s="201">
        <v>50.46607009694258</v>
      </c>
      <c r="L51" s="200">
        <v>24.4034302759135</v>
      </c>
      <c r="M51" s="203">
        <v>25.130499627143919</v>
      </c>
      <c r="N51" s="434"/>
      <c r="O51" s="202">
        <v>70.422161588600886</v>
      </c>
      <c r="P51" s="200">
        <v>16.700773078672125</v>
      </c>
      <c r="Q51" s="200">
        <v>12.877065332726998</v>
      </c>
      <c r="R51" s="201">
        <v>56.118410637961055</v>
      </c>
      <c r="S51" s="200">
        <v>22.431533955991767</v>
      </c>
      <c r="T51" s="200">
        <v>21.450055406047174</v>
      </c>
      <c r="U51" s="202">
        <v>69.063073232679557</v>
      </c>
      <c r="V51" s="200">
        <v>19.782700719627485</v>
      </c>
      <c r="W51" s="200">
        <v>11.154226047692958</v>
      </c>
      <c r="X51" s="201">
        <v>47.45928338762215</v>
      </c>
      <c r="Y51" s="200">
        <v>27.394136807817588</v>
      </c>
      <c r="Z51" s="203">
        <v>25.146579804560261</v>
      </c>
      <c r="AA51" s="200">
        <v>71.645350097550391</v>
      </c>
      <c r="AB51" s="204">
        <v>13.180143073921528</v>
      </c>
      <c r="AC51" s="200">
        <v>15.174506828528072</v>
      </c>
      <c r="AD51" s="201">
        <v>30.723340790454884</v>
      </c>
      <c r="AE51" s="200">
        <v>26.845637583892618</v>
      </c>
      <c r="AF51" s="205">
        <v>42.431021625652498</v>
      </c>
    </row>
    <row r="52" spans="1:32" x14ac:dyDescent="0.25">
      <c r="A52" s="199" t="s">
        <v>348</v>
      </c>
      <c r="B52" s="200">
        <v>58.015813509644879</v>
      </c>
      <c r="C52" s="200">
        <v>25.586758457728397</v>
      </c>
      <c r="D52" s="200">
        <v>16.397428032626724</v>
      </c>
      <c r="E52" s="201">
        <v>47.7132183451236</v>
      </c>
      <c r="F52" s="200">
        <v>23.190525395437565</v>
      </c>
      <c r="G52" s="200">
        <v>29.096256259438835</v>
      </c>
      <c r="H52" s="202">
        <v>64.342711069683361</v>
      </c>
      <c r="I52" s="200">
        <v>17.425076970878177</v>
      </c>
      <c r="J52" s="200">
        <v>18.232211959438466</v>
      </c>
      <c r="K52" s="201">
        <v>45.195627157652474</v>
      </c>
      <c r="L52" s="200">
        <v>22.171077867280399</v>
      </c>
      <c r="M52" s="203">
        <v>32.63329497506713</v>
      </c>
      <c r="N52" s="434"/>
      <c r="O52" s="202">
        <v>67.375706070937866</v>
      </c>
      <c r="P52" s="200">
        <v>17.520736858175155</v>
      </c>
      <c r="Q52" s="200">
        <v>15.103557070886978</v>
      </c>
      <c r="R52" s="201">
        <v>47.186962574727701</v>
      </c>
      <c r="S52" s="200">
        <v>19.212185734174106</v>
      </c>
      <c r="T52" s="200">
        <v>33.600851691098185</v>
      </c>
      <c r="U52" s="202">
        <v>59.903583692876637</v>
      </c>
      <c r="V52" s="200">
        <v>17.295500572334245</v>
      </c>
      <c r="W52" s="200">
        <v>22.800915734789118</v>
      </c>
      <c r="X52" s="201">
        <v>43.680391495106313</v>
      </c>
      <c r="Y52" s="200">
        <v>31.606479919001014</v>
      </c>
      <c r="Z52" s="203">
        <v>24.713128585892676</v>
      </c>
      <c r="AA52" s="200">
        <v>62.252559726962453</v>
      </c>
      <c r="AB52" s="204">
        <v>17.332195676905574</v>
      </c>
      <c r="AC52" s="200">
        <v>20.415244596131966</v>
      </c>
      <c r="AD52" s="201">
        <v>39.554983449797717</v>
      </c>
      <c r="AE52" s="200">
        <v>14.895182052225083</v>
      </c>
      <c r="AF52" s="205">
        <v>45.549834497977201</v>
      </c>
    </row>
    <row r="53" spans="1:32" x14ac:dyDescent="0.25">
      <c r="A53" s="199" t="s">
        <v>349</v>
      </c>
      <c r="B53" s="200">
        <v>71.437704219349342</v>
      </c>
      <c r="C53" s="200">
        <v>13.965051853956528</v>
      </c>
      <c r="D53" s="200">
        <v>14.597243926694134</v>
      </c>
      <c r="E53" s="201">
        <v>48.271621806257684</v>
      </c>
      <c r="F53" s="200">
        <v>23.790818417816642</v>
      </c>
      <c r="G53" s="200">
        <v>27.937559775925674</v>
      </c>
      <c r="H53" s="202">
        <v>73.973844094326026</v>
      </c>
      <c r="I53" s="200">
        <v>13.827618164967562</v>
      </c>
      <c r="J53" s="200">
        <v>12.198537740706415</v>
      </c>
      <c r="K53" s="201">
        <v>59.096893101632439</v>
      </c>
      <c r="L53" s="200">
        <v>21.524486571879937</v>
      </c>
      <c r="M53" s="203">
        <v>19.378620326487624</v>
      </c>
      <c r="N53" s="434"/>
      <c r="O53" s="202">
        <v>76.296189167691082</v>
      </c>
      <c r="P53" s="200">
        <v>13.475305517390989</v>
      </c>
      <c r="Q53" s="200">
        <v>10.228505314917927</v>
      </c>
      <c r="R53" s="201">
        <v>50.038510911424908</v>
      </c>
      <c r="S53" s="200">
        <v>24.890885750962774</v>
      </c>
      <c r="T53" s="200">
        <v>25.070603337612322</v>
      </c>
      <c r="U53" s="202">
        <v>69.217016029593097</v>
      </c>
      <c r="V53" s="200">
        <v>13.902589395807643</v>
      </c>
      <c r="W53" s="200">
        <v>16.880394574599261</v>
      </c>
      <c r="X53" s="201">
        <v>70.301348136399682</v>
      </c>
      <c r="Y53" s="200">
        <v>20.301348136399682</v>
      </c>
      <c r="Z53" s="203">
        <v>9.3973037272006348</v>
      </c>
      <c r="AA53" s="200">
        <v>76.737224716698734</v>
      </c>
      <c r="AB53" s="204">
        <v>15.651058370750482</v>
      </c>
      <c r="AC53" s="200">
        <v>7.6117169125507811</v>
      </c>
      <c r="AD53" s="201">
        <v>65.055131467345205</v>
      </c>
      <c r="AE53" s="200">
        <v>13.019508057675996</v>
      </c>
      <c r="AF53" s="205">
        <v>21.925360474978795</v>
      </c>
    </row>
    <row r="54" spans="1:32" x14ac:dyDescent="0.25">
      <c r="A54" s="199" t="s">
        <v>350</v>
      </c>
      <c r="B54" s="200">
        <v>71.573948439620082</v>
      </c>
      <c r="C54" s="200">
        <v>15.524649479873359</v>
      </c>
      <c r="D54" s="200">
        <v>12.901402080506557</v>
      </c>
      <c r="E54" s="201">
        <v>53.502347417840376</v>
      </c>
      <c r="F54" s="200">
        <v>16.24413145539906</v>
      </c>
      <c r="G54" s="200">
        <v>30.253521126760564</v>
      </c>
      <c r="H54" s="202">
        <v>72.37255782618459</v>
      </c>
      <c r="I54" s="200">
        <v>14.810240287446666</v>
      </c>
      <c r="J54" s="200">
        <v>12.817201886368739</v>
      </c>
      <c r="K54" s="201">
        <v>46.202402769293421</v>
      </c>
      <c r="L54" s="200">
        <v>23.1113826104663</v>
      </c>
      <c r="M54" s="203">
        <v>30.686214620240275</v>
      </c>
      <c r="N54" s="434"/>
      <c r="O54" s="202">
        <v>73.106428957320375</v>
      </c>
      <c r="P54" s="200">
        <v>14.057266342517558</v>
      </c>
      <c r="Q54" s="200">
        <v>12.836304700162074</v>
      </c>
      <c r="R54" s="201">
        <v>45.144858325374081</v>
      </c>
      <c r="S54" s="200">
        <v>26.138172556510664</v>
      </c>
      <c r="T54" s="200">
        <v>28.716969118115248</v>
      </c>
      <c r="U54" s="202">
        <v>71.420502682857943</v>
      </c>
      <c r="V54" s="200">
        <v>15.842982208415702</v>
      </c>
      <c r="W54" s="200">
        <v>12.736515108726348</v>
      </c>
      <c r="X54" s="201">
        <v>64.292878635907726</v>
      </c>
      <c r="Y54" s="200">
        <v>19.95987963891675</v>
      </c>
      <c r="Z54" s="203">
        <v>15.747241725175526</v>
      </c>
      <c r="AA54" s="200">
        <v>72.320217096336506</v>
      </c>
      <c r="AB54" s="204">
        <v>14.586160108548169</v>
      </c>
      <c r="AC54" s="200">
        <v>13.093622795115332</v>
      </c>
      <c r="AD54" s="201">
        <v>27.002583979328165</v>
      </c>
      <c r="AE54" s="200">
        <v>14.987080103359174</v>
      </c>
      <c r="AF54" s="205">
        <v>58.010335917312659</v>
      </c>
    </row>
    <row r="55" spans="1:32" x14ac:dyDescent="0.25">
      <c r="A55" s="199" t="s">
        <v>351</v>
      </c>
      <c r="B55" s="200">
        <v>82.615823840348241</v>
      </c>
      <c r="C55" s="200">
        <v>10.877123554852023</v>
      </c>
      <c r="D55" s="200">
        <v>6.5070526047997292</v>
      </c>
      <c r="E55" s="201">
        <v>53.801682754348832</v>
      </c>
      <c r="F55" s="200">
        <v>16.741857223971508</v>
      </c>
      <c r="G55" s="200">
        <v>29.456460021679661</v>
      </c>
      <c r="H55" s="202">
        <v>77.835175691683091</v>
      </c>
      <c r="I55" s="200">
        <v>13.841526052700132</v>
      </c>
      <c r="J55" s="200">
        <v>8.3232982556167769</v>
      </c>
      <c r="K55" s="201">
        <v>51.318116188900241</v>
      </c>
      <c r="L55" s="200">
        <v>19.420515565938256</v>
      </c>
      <c r="M55" s="203">
        <v>29.261368245161499</v>
      </c>
      <c r="N55" s="434"/>
      <c r="O55" s="202">
        <v>80.123774675882004</v>
      </c>
      <c r="P55" s="200">
        <v>12.056737588652481</v>
      </c>
      <c r="Q55" s="200">
        <v>7.8194877354655103</v>
      </c>
      <c r="R55" s="201">
        <v>55.945151811949067</v>
      </c>
      <c r="S55" s="200">
        <v>15.060864698474886</v>
      </c>
      <c r="T55" s="200">
        <v>28.993983489576046</v>
      </c>
      <c r="U55" s="202">
        <v>76.534273978041441</v>
      </c>
      <c r="V55" s="200">
        <v>15.93446027455831</v>
      </c>
      <c r="W55" s="200">
        <v>7.5312657474002469</v>
      </c>
      <c r="X55" s="201">
        <v>51.913588478463794</v>
      </c>
      <c r="Y55" s="200">
        <v>26.390185358047741</v>
      </c>
      <c r="Z55" s="203">
        <v>21.696226163488465</v>
      </c>
      <c r="AA55" s="200">
        <v>71.672592646897101</v>
      </c>
      <c r="AB55" s="204">
        <v>16.058795498698728</v>
      </c>
      <c r="AC55" s="200">
        <v>12.268611854404163</v>
      </c>
      <c r="AD55" s="201">
        <v>35.341034103410337</v>
      </c>
      <c r="AE55" s="200">
        <v>24.119911991199121</v>
      </c>
      <c r="AF55" s="205">
        <v>40.539053905390539</v>
      </c>
    </row>
    <row r="56" spans="1:32" x14ac:dyDescent="0.25">
      <c r="A56" s="199" t="s">
        <v>352</v>
      </c>
      <c r="B56" s="200">
        <v>80.776064245611551</v>
      </c>
      <c r="C56" s="200">
        <v>10.93028214057281</v>
      </c>
      <c r="D56" s="200">
        <v>8.2936536138156498</v>
      </c>
      <c r="E56" s="201">
        <v>50.661933288957918</v>
      </c>
      <c r="F56" s="200">
        <v>25.064714148361805</v>
      </c>
      <c r="G56" s="200">
        <v>24.273352562680277</v>
      </c>
      <c r="H56" s="202">
        <v>71.100372336211677</v>
      </c>
      <c r="I56" s="200">
        <v>17.507723995880536</v>
      </c>
      <c r="J56" s="200">
        <v>11.391903667907787</v>
      </c>
      <c r="K56" s="201">
        <v>45.821497981761098</v>
      </c>
      <c r="L56" s="200">
        <v>29.271939004335479</v>
      </c>
      <c r="M56" s="203">
        <v>24.906563013903423</v>
      </c>
      <c r="N56" s="434"/>
      <c r="O56" s="202">
        <v>70.31630170316302</v>
      </c>
      <c r="P56" s="200">
        <v>19.237108547209793</v>
      </c>
      <c r="Q56" s="200">
        <v>10.446589749627186</v>
      </c>
      <c r="R56" s="201">
        <v>46.828723107013133</v>
      </c>
      <c r="S56" s="200">
        <v>26.264319642358203</v>
      </c>
      <c r="T56" s="200">
        <v>26.906957250628665</v>
      </c>
      <c r="U56" s="202">
        <v>71.056964109318415</v>
      </c>
      <c r="V56" s="200">
        <v>15.651410383053452</v>
      </c>
      <c r="W56" s="200">
        <v>13.29162550762814</v>
      </c>
      <c r="X56" s="201">
        <v>41.277325332190316</v>
      </c>
      <c r="Y56" s="200">
        <v>36.562366052293186</v>
      </c>
      <c r="Z56" s="203">
        <v>22.160308615516502</v>
      </c>
      <c r="AA56" s="200">
        <v>74.160282852091925</v>
      </c>
      <c r="AB56" s="204">
        <v>15.998821449616971</v>
      </c>
      <c r="AC56" s="200">
        <v>9.8408956982911029</v>
      </c>
      <c r="AD56" s="201">
        <v>54.826254826254825</v>
      </c>
      <c r="AE56" s="200">
        <v>21.235521235521233</v>
      </c>
      <c r="AF56" s="205">
        <v>23.938223938223938</v>
      </c>
    </row>
    <row r="57" spans="1:32" x14ac:dyDescent="0.25">
      <c r="A57" s="199" t="s">
        <v>353</v>
      </c>
      <c r="B57" s="200">
        <v>78.594366455638138</v>
      </c>
      <c r="C57" s="200">
        <v>11.147811725846408</v>
      </c>
      <c r="D57" s="200">
        <v>10.25782181851546</v>
      </c>
      <c r="E57" s="201">
        <v>52.691275507620638</v>
      </c>
      <c r="F57" s="200">
        <v>20.380778773608789</v>
      </c>
      <c r="G57" s="200">
        <v>26.92794571877057</v>
      </c>
      <c r="H57" s="202">
        <v>72.953869047619051</v>
      </c>
      <c r="I57" s="200">
        <v>18.048878205128204</v>
      </c>
      <c r="J57" s="200">
        <v>8.9972527472527464</v>
      </c>
      <c r="K57" s="201">
        <v>55.508424649463883</v>
      </c>
      <c r="L57" s="200">
        <v>25.533168375162013</v>
      </c>
      <c r="M57" s="203">
        <v>18.9584069753741</v>
      </c>
      <c r="N57" s="434"/>
      <c r="O57" s="202">
        <v>77.439160030253149</v>
      </c>
      <c r="P57" s="200">
        <v>15.79392267651377</v>
      </c>
      <c r="Q57" s="200">
        <v>6.7669172932330826</v>
      </c>
      <c r="R57" s="201">
        <v>66.192170818505332</v>
      </c>
      <c r="S57" s="200">
        <v>18.937468225724455</v>
      </c>
      <c r="T57" s="200">
        <v>14.870360955770209</v>
      </c>
      <c r="U57" s="202">
        <v>66.747038473634561</v>
      </c>
      <c r="V57" s="200">
        <v>19.310200230632141</v>
      </c>
      <c r="W57" s="200">
        <v>13.942761295733305</v>
      </c>
      <c r="X57" s="201">
        <v>44.288956127080183</v>
      </c>
      <c r="Y57" s="200">
        <v>24.281391830559759</v>
      </c>
      <c r="Z57" s="203">
        <v>31.429652042360061</v>
      </c>
      <c r="AA57" s="200">
        <v>58.743169398907099</v>
      </c>
      <c r="AB57" s="204">
        <v>31.25</v>
      </c>
      <c r="AC57" s="200">
        <v>10.006830601092895</v>
      </c>
      <c r="AD57" s="201">
        <v>49.030906233630169</v>
      </c>
      <c r="AE57" s="200">
        <v>40.859088528025147</v>
      </c>
      <c r="AF57" s="205">
        <v>10.110005238344682</v>
      </c>
    </row>
    <row r="58" spans="1:32" x14ac:dyDescent="0.25">
      <c r="A58" s="199" t="s">
        <v>354</v>
      </c>
      <c r="B58" s="200">
        <v>79.5425667090216</v>
      </c>
      <c r="C58" s="200">
        <v>14.383735705209657</v>
      </c>
      <c r="D58" s="200">
        <v>6.0736975857687421</v>
      </c>
      <c r="E58" s="201">
        <v>63.261377698336304</v>
      </c>
      <c r="F58" s="200">
        <v>22.769146157019112</v>
      </c>
      <c r="G58" s="200">
        <v>13.969476144644577</v>
      </c>
      <c r="H58" s="202">
        <v>72.49858142613958</v>
      </c>
      <c r="I58" s="200">
        <v>18.964756320534644</v>
      </c>
      <c r="J58" s="200">
        <v>8.5366622533257672</v>
      </c>
      <c r="K58" s="201">
        <v>55.342902711323759</v>
      </c>
      <c r="L58" s="200">
        <v>21.435406698564595</v>
      </c>
      <c r="M58" s="203">
        <v>23.221690590111642</v>
      </c>
      <c r="N58" s="434"/>
      <c r="O58" s="202">
        <v>72.872922678873522</v>
      </c>
      <c r="P58" s="200">
        <v>16.339934321823065</v>
      </c>
      <c r="Q58" s="200">
        <v>10.787142999303413</v>
      </c>
      <c r="R58" s="201">
        <v>68.472151251916202</v>
      </c>
      <c r="S58" s="200">
        <v>17.271333673990803</v>
      </c>
      <c r="T58" s="200">
        <v>14.256515074092999</v>
      </c>
      <c r="U58" s="202">
        <v>72.254202164402486</v>
      </c>
      <c r="V58" s="200">
        <v>24.430117430347686</v>
      </c>
      <c r="W58" s="200">
        <v>3.3156804052498274</v>
      </c>
      <c r="X58" s="201">
        <v>51.39573070607554</v>
      </c>
      <c r="Y58" s="200">
        <v>27.750410509031198</v>
      </c>
      <c r="Z58" s="203">
        <v>20.853858784893266</v>
      </c>
      <c r="AA58" s="200">
        <v>70.660313138189252</v>
      </c>
      <c r="AB58" s="204">
        <v>20.762423417290673</v>
      </c>
      <c r="AC58" s="200">
        <v>8.5772634445200815</v>
      </c>
      <c r="AD58" s="201">
        <v>14.385964912280702</v>
      </c>
      <c r="AE58" s="200">
        <v>29.122807017543863</v>
      </c>
      <c r="AF58" s="205">
        <v>56.491228070175438</v>
      </c>
    </row>
    <row r="59" spans="1:32" x14ac:dyDescent="0.25">
      <c r="A59" s="199" t="s">
        <v>355</v>
      </c>
      <c r="B59" s="200">
        <v>80.314019503979566</v>
      </c>
      <c r="C59" s="200">
        <v>11.574715453779914</v>
      </c>
      <c r="D59" s="200">
        <v>8.1112650422405128</v>
      </c>
      <c r="E59" s="201">
        <v>63.066271018793273</v>
      </c>
      <c r="F59" s="200">
        <v>17.477744807121663</v>
      </c>
      <c r="G59" s="200">
        <v>19.455984174085064</v>
      </c>
      <c r="H59" s="202">
        <v>78.093755452068763</v>
      </c>
      <c r="I59" s="200">
        <v>13.044703608766255</v>
      </c>
      <c r="J59" s="200">
        <v>8.8615409391649766</v>
      </c>
      <c r="K59" s="201">
        <v>53.063762061076289</v>
      </c>
      <c r="L59" s="200">
        <v>19.909479757286384</v>
      </c>
      <c r="M59" s="203">
        <v>27.026758181637323</v>
      </c>
      <c r="N59" s="434"/>
      <c r="O59" s="202">
        <v>78.420701086015384</v>
      </c>
      <c r="P59" s="200">
        <v>12.5200999431017</v>
      </c>
      <c r="Q59" s="200">
        <v>9.0591989708829139</v>
      </c>
      <c r="R59" s="201">
        <v>56.221000171850832</v>
      </c>
      <c r="S59" s="200">
        <v>19.702698058085584</v>
      </c>
      <c r="T59" s="200">
        <v>24.076301770063584</v>
      </c>
      <c r="U59" s="202">
        <v>81.69419978081747</v>
      </c>
      <c r="V59" s="200">
        <v>12.026626618500629</v>
      </c>
      <c r="W59" s="200">
        <v>6.2791736006819017</v>
      </c>
      <c r="X59" s="201">
        <v>45.90471720253462</v>
      </c>
      <c r="Y59" s="200">
        <v>30.509270124383946</v>
      </c>
      <c r="Z59" s="203">
        <v>23.586012673081434</v>
      </c>
      <c r="AA59" s="200">
        <v>67.311964455728329</v>
      </c>
      <c r="AB59" s="204">
        <v>17.941394266370462</v>
      </c>
      <c r="AC59" s="200">
        <v>14.746641277901196</v>
      </c>
      <c r="AD59" s="201">
        <v>51.580698835274539</v>
      </c>
      <c r="AE59" s="200">
        <v>9.745661991918233</v>
      </c>
      <c r="AF59" s="205">
        <v>38.673639172807228</v>
      </c>
    </row>
    <row r="60" spans="1:32" x14ac:dyDescent="0.25">
      <c r="A60" s="199" t="s">
        <v>356</v>
      </c>
      <c r="B60" s="200">
        <v>63.929393706830396</v>
      </c>
      <c r="C60" s="200">
        <v>20.466505865584914</v>
      </c>
      <c r="D60" s="200">
        <v>15.604100427584694</v>
      </c>
      <c r="E60" s="201">
        <v>49.488879251595314</v>
      </c>
      <c r="F60" s="200">
        <v>25.099642731759701</v>
      </c>
      <c r="G60" s="200">
        <v>25.411478016644985</v>
      </c>
      <c r="H60" s="202">
        <v>69.93701996927804</v>
      </c>
      <c r="I60" s="200">
        <v>15.525345622119815</v>
      </c>
      <c r="J60" s="200">
        <v>14.537634408602152</v>
      </c>
      <c r="K60" s="201">
        <v>44.803787550428432</v>
      </c>
      <c r="L60" s="200">
        <v>27.319707931850768</v>
      </c>
      <c r="M60" s="203">
        <v>27.8765045177208</v>
      </c>
      <c r="N60" s="434"/>
      <c r="O60" s="202">
        <v>68.733116705163837</v>
      </c>
      <c r="P60" s="200">
        <v>15.865403437340955</v>
      </c>
      <c r="Q60" s="200">
        <v>15.401479857495204</v>
      </c>
      <c r="R60" s="201">
        <v>47.470353375841725</v>
      </c>
      <c r="S60" s="200">
        <v>28.854061140575649</v>
      </c>
      <c r="T60" s="200">
        <v>23.675585483582623</v>
      </c>
      <c r="U60" s="202">
        <v>71.13895869524886</v>
      </c>
      <c r="V60" s="200">
        <v>14.963485183248723</v>
      </c>
      <c r="W60" s="200">
        <v>13.897556121502419</v>
      </c>
      <c r="X60" s="201">
        <v>47.992034517092598</v>
      </c>
      <c r="Y60" s="200">
        <v>19.825201902865359</v>
      </c>
      <c r="Z60" s="203">
        <v>32.182763580042042</v>
      </c>
      <c r="AA60" s="200">
        <v>69.444584573475254</v>
      </c>
      <c r="AB60" s="204">
        <v>16.329516218534028</v>
      </c>
      <c r="AC60" s="200">
        <v>14.225899207990716</v>
      </c>
      <c r="AD60" s="201">
        <v>27.174694464414088</v>
      </c>
      <c r="AE60" s="200">
        <v>37.383177570093459</v>
      </c>
      <c r="AF60" s="205">
        <v>35.442127965492453</v>
      </c>
    </row>
    <row r="61" spans="1:32" x14ac:dyDescent="0.25">
      <c r="A61" s="199" t="s">
        <v>357</v>
      </c>
      <c r="B61" s="200">
        <v>75.533442757488714</v>
      </c>
      <c r="C61" s="200">
        <v>17.21378744357817</v>
      </c>
      <c r="D61" s="200">
        <v>7.252769798933115</v>
      </c>
      <c r="E61" s="201">
        <v>56.593473250030321</v>
      </c>
      <c r="F61" s="200">
        <v>22.261312628897244</v>
      </c>
      <c r="G61" s="200">
        <v>21.145214121072424</v>
      </c>
      <c r="H61" s="202">
        <v>80.94864522358337</v>
      </c>
      <c r="I61" s="200">
        <v>10.095950757347174</v>
      </c>
      <c r="J61" s="200">
        <v>8.9554040190694586</v>
      </c>
      <c r="K61" s="201">
        <v>56.544502617801051</v>
      </c>
      <c r="L61" s="200">
        <v>23.821989528795811</v>
      </c>
      <c r="M61" s="203">
        <v>19.633507853403142</v>
      </c>
      <c r="N61" s="434"/>
      <c r="O61" s="202">
        <v>83.038949275362313</v>
      </c>
      <c r="P61" s="200">
        <v>8.4692028985507246</v>
      </c>
      <c r="Q61" s="200">
        <v>8.491847826086957</v>
      </c>
      <c r="R61" s="201">
        <v>55.728051391862955</v>
      </c>
      <c r="S61" s="200">
        <v>26.070663811563172</v>
      </c>
      <c r="T61" s="200">
        <v>18.201284796573873</v>
      </c>
      <c r="U61" s="202">
        <v>83.098075160403297</v>
      </c>
      <c r="V61" s="200">
        <v>10.81576535288726</v>
      </c>
      <c r="W61" s="200">
        <v>6.0861594867094411</v>
      </c>
      <c r="X61" s="201">
        <v>68.144796380090497</v>
      </c>
      <c r="Y61" s="200">
        <v>17.104072398190045</v>
      </c>
      <c r="Z61" s="203">
        <v>14.751131221719458</v>
      </c>
      <c r="AA61" s="200">
        <v>67.702407002188181</v>
      </c>
      <c r="AB61" s="204">
        <v>14.660831509846828</v>
      </c>
      <c r="AC61" s="200">
        <v>17.636761487964989</v>
      </c>
      <c r="AD61" s="201">
        <v>32.258064516129032</v>
      </c>
      <c r="AE61" s="200">
        <v>30.537634408602148</v>
      </c>
      <c r="AF61" s="205">
        <v>37.204301075268816</v>
      </c>
    </row>
    <row r="62" spans="1:32" x14ac:dyDescent="0.25">
      <c r="A62" s="199" t="s">
        <v>358</v>
      </c>
      <c r="B62" s="200">
        <v>81.213920501401944</v>
      </c>
      <c r="C62" s="200">
        <v>10.613557644730331</v>
      </c>
      <c r="D62" s="200">
        <v>8.1725218538677211</v>
      </c>
      <c r="E62" s="201">
        <v>49.351917613636367</v>
      </c>
      <c r="F62" s="200">
        <v>15.340909090909092</v>
      </c>
      <c r="G62" s="200">
        <v>35.307173295454547</v>
      </c>
      <c r="H62" s="202">
        <v>83.953805671961803</v>
      </c>
      <c r="I62" s="200">
        <v>9.5312347724393334</v>
      </c>
      <c r="J62" s="200">
        <v>6.5149595555988693</v>
      </c>
      <c r="K62" s="201">
        <v>64.620677168205688</v>
      </c>
      <c r="L62" s="200">
        <v>25.34854245880862</v>
      </c>
      <c r="M62" s="203">
        <v>10.030780372985697</v>
      </c>
      <c r="N62" s="434"/>
      <c r="O62" s="202">
        <v>83.274887979738949</v>
      </c>
      <c r="P62" s="200">
        <v>11.835184102863822</v>
      </c>
      <c r="Q62" s="200">
        <v>4.889927917397233</v>
      </c>
      <c r="R62" s="201">
        <v>64.106959204662331</v>
      </c>
      <c r="S62" s="200">
        <v>22.317449434350358</v>
      </c>
      <c r="T62" s="200">
        <v>13.575591360987316</v>
      </c>
      <c r="U62" s="202">
        <v>86.985944820406033</v>
      </c>
      <c r="V62" s="200">
        <v>6.0905778240499737</v>
      </c>
      <c r="W62" s="200">
        <v>6.9234773555439872</v>
      </c>
      <c r="X62" s="201">
        <v>62.058526740665997</v>
      </c>
      <c r="Y62" s="200">
        <v>30.020181634712412</v>
      </c>
      <c r="Z62" s="203">
        <v>7.9212916246215945</v>
      </c>
      <c r="AA62" s="200">
        <v>77.574815390594637</v>
      </c>
      <c r="AB62" s="204">
        <v>10.649047804119704</v>
      </c>
      <c r="AC62" s="200">
        <v>11.776136805285658</v>
      </c>
      <c r="AD62" s="201">
        <v>75.40192926045016</v>
      </c>
      <c r="AE62" s="200">
        <v>24.59807073954984</v>
      </c>
      <c r="AF62" s="205">
        <v>0</v>
      </c>
    </row>
    <row r="63" spans="1:32" x14ac:dyDescent="0.25">
      <c r="A63" s="199" t="s">
        <v>359</v>
      </c>
      <c r="B63" s="200">
        <v>70.425188374596331</v>
      </c>
      <c r="C63" s="200">
        <v>21.151776103336921</v>
      </c>
      <c r="D63" s="200">
        <v>8.4230355220667388</v>
      </c>
      <c r="E63" s="201">
        <v>54.103671706263498</v>
      </c>
      <c r="F63" s="200">
        <v>14.838012958963285</v>
      </c>
      <c r="G63" s="200">
        <v>31.058315334773219</v>
      </c>
      <c r="H63" s="202">
        <v>71.524748719893793</v>
      </c>
      <c r="I63" s="200">
        <v>16.821543713256208</v>
      </c>
      <c r="J63" s="200">
        <v>11.653707566849992</v>
      </c>
      <c r="K63" s="201">
        <v>57.728826433725786</v>
      </c>
      <c r="L63" s="200">
        <v>27.725028484618306</v>
      </c>
      <c r="M63" s="203">
        <v>14.546145081655906</v>
      </c>
      <c r="N63" s="434"/>
      <c r="O63" s="202">
        <v>65.159845245367549</v>
      </c>
      <c r="P63" s="200">
        <v>19.201791895744247</v>
      </c>
      <c r="Q63" s="200">
        <v>15.638362858888211</v>
      </c>
      <c r="R63" s="201">
        <v>63.754045307443363</v>
      </c>
      <c r="S63" s="200">
        <v>29.514563106796114</v>
      </c>
      <c r="T63" s="200">
        <v>6.7313915857605187</v>
      </c>
      <c r="U63" s="202">
        <v>75.016700066800269</v>
      </c>
      <c r="V63" s="200">
        <v>16.544199510131374</v>
      </c>
      <c r="W63" s="200">
        <v>8.4391004230683588</v>
      </c>
      <c r="X63" s="201">
        <v>61.467889908256879</v>
      </c>
      <c r="Y63" s="200">
        <v>26.422018348623855</v>
      </c>
      <c r="Z63" s="203">
        <v>12.110091743119266</v>
      </c>
      <c r="AA63" s="200">
        <v>85.214348206474185</v>
      </c>
      <c r="AB63" s="204">
        <v>7.6115485564304457</v>
      </c>
      <c r="AC63" s="200">
        <v>7.1741032370953626</v>
      </c>
      <c r="AD63" s="201">
        <v>36.783733826247691</v>
      </c>
      <c r="AE63" s="200">
        <v>23.844731977818853</v>
      </c>
      <c r="AF63" s="205">
        <v>39.371534195933457</v>
      </c>
    </row>
    <row r="64" spans="1:32" x14ac:dyDescent="0.25">
      <c r="A64" s="199" t="s">
        <v>360</v>
      </c>
      <c r="B64" s="200">
        <v>82.463170300530351</v>
      </c>
      <c r="C64" s="200">
        <v>10.972304065998822</v>
      </c>
      <c r="D64" s="200">
        <v>6.564525633470832</v>
      </c>
      <c r="E64" s="201">
        <v>56.908274534958302</v>
      </c>
      <c r="F64" s="200">
        <v>21.270044900577293</v>
      </c>
      <c r="G64" s="200">
        <v>21.821680564464398</v>
      </c>
      <c r="H64" s="202">
        <v>82.498509242695278</v>
      </c>
      <c r="I64" s="200">
        <v>10.696183661299941</v>
      </c>
      <c r="J64" s="200">
        <v>6.8053070960047704</v>
      </c>
      <c r="K64" s="201">
        <v>63.428848955803787</v>
      </c>
      <c r="L64" s="200">
        <v>17.484215638659542</v>
      </c>
      <c r="M64" s="203">
        <v>19.086935405536668</v>
      </c>
      <c r="N64" s="434"/>
      <c r="O64" s="202">
        <v>85.175686073352139</v>
      </c>
      <c r="P64" s="200">
        <v>8.6945370607848176</v>
      </c>
      <c r="Q64" s="200">
        <v>6.1297768658630414</v>
      </c>
      <c r="R64" s="201">
        <v>69.385884509624191</v>
      </c>
      <c r="S64" s="200">
        <v>20.989917506874427</v>
      </c>
      <c r="T64" s="200">
        <v>9.6241979835013751</v>
      </c>
      <c r="U64" s="202">
        <v>80.622676579925638</v>
      </c>
      <c r="V64" s="200">
        <v>11.988847583643123</v>
      </c>
      <c r="W64" s="200">
        <v>7.3884758364312271</v>
      </c>
      <c r="X64" s="201">
        <v>61.559888579387191</v>
      </c>
      <c r="Y64" s="200">
        <v>10.445682451253482</v>
      </c>
      <c r="Z64" s="203">
        <v>27.99442896935933</v>
      </c>
      <c r="AA64" s="200">
        <v>72.644376899696056</v>
      </c>
      <c r="AB64" s="204">
        <v>18.389057750759878</v>
      </c>
      <c r="AC64" s="200">
        <v>8.9665653495440729</v>
      </c>
      <c r="AD64" s="201">
        <v>42.971887550200805</v>
      </c>
      <c r="AE64" s="200">
        <v>22.489959839357429</v>
      </c>
      <c r="AF64" s="205">
        <v>34.53815261044177</v>
      </c>
    </row>
    <row r="65" spans="1:32" x14ac:dyDescent="0.25">
      <c r="A65" s="199" t="s">
        <v>361</v>
      </c>
      <c r="B65" s="200">
        <v>84.233460169387513</v>
      </c>
      <c r="C65" s="200">
        <v>9.6047624892598513</v>
      </c>
      <c r="D65" s="200">
        <v>6.1617773413526447</v>
      </c>
      <c r="E65" s="201">
        <v>59.626797534809405</v>
      </c>
      <c r="F65" s="200">
        <v>18.580232823556265</v>
      </c>
      <c r="G65" s="200">
        <v>21.792969641634329</v>
      </c>
      <c r="H65" s="202">
        <v>81.924191649307133</v>
      </c>
      <c r="I65" s="200">
        <v>10.146272982519699</v>
      </c>
      <c r="J65" s="200">
        <v>7.9295353681731724</v>
      </c>
      <c r="K65" s="201">
        <v>60.97413584723229</v>
      </c>
      <c r="L65" s="200">
        <v>16.243654822335024</v>
      </c>
      <c r="M65" s="203">
        <v>22.782209330432682</v>
      </c>
      <c r="N65" s="434"/>
      <c r="O65" s="202">
        <v>82.376700680272108</v>
      </c>
      <c r="P65" s="200">
        <v>10.072278911564627</v>
      </c>
      <c r="Q65" s="200">
        <v>7.5510204081632653</v>
      </c>
      <c r="R65" s="201">
        <v>64.142354645147933</v>
      </c>
      <c r="S65" s="200">
        <v>18.249534450651769</v>
      </c>
      <c r="T65" s="200">
        <v>17.608110904200288</v>
      </c>
      <c r="U65" s="202">
        <v>79.360049704877284</v>
      </c>
      <c r="V65" s="200">
        <v>10.506368437402919</v>
      </c>
      <c r="W65" s="200">
        <v>10.133581857719788</v>
      </c>
      <c r="X65" s="201">
        <v>61.651053864168617</v>
      </c>
      <c r="Y65" s="200">
        <v>11.533957845433255</v>
      </c>
      <c r="Z65" s="203">
        <v>26.81498829039813</v>
      </c>
      <c r="AA65" s="200">
        <v>88.676341248900613</v>
      </c>
      <c r="AB65" s="204">
        <v>9.2568161829375555</v>
      </c>
      <c r="AC65" s="200">
        <v>2.0668425681618294</v>
      </c>
      <c r="AD65" s="201">
        <v>51.471436814772076</v>
      </c>
      <c r="AE65" s="200">
        <v>15.29140219272937</v>
      </c>
      <c r="AF65" s="205">
        <v>33.237160992498559</v>
      </c>
    </row>
    <row r="66" spans="1:32" x14ac:dyDescent="0.25">
      <c r="A66" s="199" t="s">
        <v>362</v>
      </c>
      <c r="B66" s="200">
        <v>78.821595650524728</v>
      </c>
      <c r="C66" s="200">
        <v>13.762801871285877</v>
      </c>
      <c r="D66" s="200">
        <v>7.4156024781894052</v>
      </c>
      <c r="E66" s="201">
        <v>57.087854392719642</v>
      </c>
      <c r="F66" s="200">
        <v>21.412320616030804</v>
      </c>
      <c r="G66" s="200">
        <v>21.499824991249564</v>
      </c>
      <c r="H66" s="202">
        <v>78.508975549365516</v>
      </c>
      <c r="I66" s="200">
        <v>14.763231197771587</v>
      </c>
      <c r="J66" s="200">
        <v>6.7277932528628899</v>
      </c>
      <c r="K66" s="201">
        <v>57.767385115900773</v>
      </c>
      <c r="L66" s="200">
        <v>25.193167954453028</v>
      </c>
      <c r="M66" s="203">
        <v>17.0394469296462</v>
      </c>
      <c r="N66" s="434"/>
      <c r="O66" s="202">
        <v>79.225748368219669</v>
      </c>
      <c r="P66" s="200">
        <v>12.296496361317429</v>
      </c>
      <c r="Q66" s="200">
        <v>8.4777552704629002</v>
      </c>
      <c r="R66" s="201">
        <v>66.45817044566067</v>
      </c>
      <c r="S66" s="200">
        <v>27.951524628616109</v>
      </c>
      <c r="T66" s="200">
        <v>5.5903049257232214</v>
      </c>
      <c r="U66" s="202">
        <v>79.37479141172544</v>
      </c>
      <c r="V66" s="200">
        <v>14.384247413505397</v>
      </c>
      <c r="W66" s="200">
        <v>6.2409611747691622</v>
      </c>
      <c r="X66" s="201">
        <v>62.350119904076742</v>
      </c>
      <c r="Y66" s="200">
        <v>8.7929656274980026</v>
      </c>
      <c r="Z66" s="203">
        <v>28.856914468425259</v>
      </c>
      <c r="AA66" s="200">
        <v>73.576890399320305</v>
      </c>
      <c r="AB66" s="204">
        <v>25.035400736335315</v>
      </c>
      <c r="AC66" s="200">
        <v>1.3877088643443785</v>
      </c>
      <c r="AD66" s="201">
        <v>32.55184851217313</v>
      </c>
      <c r="AE66" s="200">
        <v>37.330928764652846</v>
      </c>
      <c r="AF66" s="205">
        <v>30.117222723174031</v>
      </c>
    </row>
    <row r="67" spans="1:32" x14ac:dyDescent="0.25">
      <c r="A67" s="199" t="s">
        <v>363</v>
      </c>
      <c r="B67" s="200">
        <v>85.581955444398133</v>
      </c>
      <c r="C67" s="200">
        <v>7.0168125607892176</v>
      </c>
      <c r="D67" s="200">
        <v>7.4012319948126528</v>
      </c>
      <c r="E67" s="201">
        <v>42.494892830506828</v>
      </c>
      <c r="F67" s="200">
        <v>18.249618988942572</v>
      </c>
      <c r="G67" s="200">
        <v>39.2554881805506</v>
      </c>
      <c r="H67" s="202">
        <v>81.819060195175368</v>
      </c>
      <c r="I67" s="200">
        <v>12.274147315533511</v>
      </c>
      <c r="J67" s="200">
        <v>5.9067924892911208</v>
      </c>
      <c r="K67" s="201">
        <v>50.478055523557195</v>
      </c>
      <c r="L67" s="200">
        <v>18.926390968782396</v>
      </c>
      <c r="M67" s="203">
        <v>30.595553507660405</v>
      </c>
      <c r="N67" s="434"/>
      <c r="O67" s="202">
        <v>82.532725226559251</v>
      </c>
      <c r="P67" s="200">
        <v>11.236154711840312</v>
      </c>
      <c r="Q67" s="200">
        <v>6.2311200616004268</v>
      </c>
      <c r="R67" s="201">
        <v>50.672111621575631</v>
      </c>
      <c r="S67" s="200">
        <v>19.49974476773864</v>
      </c>
      <c r="T67" s="200">
        <v>29.828143610685725</v>
      </c>
      <c r="U67" s="202">
        <v>81.934552454282965</v>
      </c>
      <c r="V67" s="200">
        <v>14.773820981713188</v>
      </c>
      <c r="W67" s="200">
        <v>3.2916265640038502</v>
      </c>
      <c r="X67" s="201">
        <v>52.692948362021099</v>
      </c>
      <c r="Y67" s="200">
        <v>21.765685730149915</v>
      </c>
      <c r="Z67" s="203">
        <v>25.541365907828983</v>
      </c>
      <c r="AA67" s="200">
        <v>78.316123907863386</v>
      </c>
      <c r="AB67" s="204">
        <v>10.007942811755361</v>
      </c>
      <c r="AC67" s="200">
        <v>11.675933280381255</v>
      </c>
      <c r="AD67" s="201">
        <v>45.309381237524946</v>
      </c>
      <c r="AE67" s="200">
        <v>10.479041916167663</v>
      </c>
      <c r="AF67" s="205">
        <v>44.211576846307388</v>
      </c>
    </row>
    <row r="68" spans="1:32" x14ac:dyDescent="0.25">
      <c r="A68" s="199" t="s">
        <v>364</v>
      </c>
      <c r="B68" s="200">
        <v>89.044250010465944</v>
      </c>
      <c r="C68" s="200">
        <v>7.6443253652614391</v>
      </c>
      <c r="D68" s="200">
        <v>3.3114246242726173</v>
      </c>
      <c r="E68" s="201">
        <v>61.771534019882132</v>
      </c>
      <c r="F68" s="200">
        <v>20.322638252276921</v>
      </c>
      <c r="G68" s="200">
        <v>17.905827727840943</v>
      </c>
      <c r="H68" s="202">
        <v>86.198363689056336</v>
      </c>
      <c r="I68" s="200">
        <v>6.268809773279532</v>
      </c>
      <c r="J68" s="200">
        <v>7.5328265376641319</v>
      </c>
      <c r="K68" s="201">
        <v>58.426171529619808</v>
      </c>
      <c r="L68" s="200">
        <v>18.992042440318301</v>
      </c>
      <c r="M68" s="203">
        <v>22.581786030061892</v>
      </c>
      <c r="N68" s="434"/>
      <c r="O68" s="202">
        <v>85.080011885054546</v>
      </c>
      <c r="P68" s="200">
        <v>5.5859756356381851</v>
      </c>
      <c r="Q68" s="200">
        <v>9.3340124793072707</v>
      </c>
      <c r="R68" s="201">
        <v>61.124195321086518</v>
      </c>
      <c r="S68" s="200">
        <v>11.241953210865129</v>
      </c>
      <c r="T68" s="200">
        <v>27.633851468048359</v>
      </c>
      <c r="U68" s="202">
        <v>85.979604241237254</v>
      </c>
      <c r="V68" s="200">
        <v>6.2132775038832984</v>
      </c>
      <c r="W68" s="200">
        <v>7.8071182548794482</v>
      </c>
      <c r="X68" s="201">
        <v>49.986873195064319</v>
      </c>
      <c r="Y68" s="200">
        <v>29.16776056707797</v>
      </c>
      <c r="Z68" s="203">
        <v>20.845366237857704</v>
      </c>
      <c r="AA68" s="200">
        <v>90.74387802248576</v>
      </c>
      <c r="AB68" s="204">
        <v>8.8864931464654244</v>
      </c>
      <c r="AC68" s="200">
        <v>0.36962883104882177</v>
      </c>
      <c r="AD68" s="201">
        <v>71.706454465075154</v>
      </c>
      <c r="AE68" s="200">
        <v>28.293545534924846</v>
      </c>
      <c r="AF68" s="205">
        <v>0</v>
      </c>
    </row>
    <row r="69" spans="1:32" x14ac:dyDescent="0.25">
      <c r="A69" s="199" t="s">
        <v>365</v>
      </c>
      <c r="B69" s="200">
        <v>72.048174286590978</v>
      </c>
      <c r="C69" s="200">
        <v>17.49463025467935</v>
      </c>
      <c r="D69" s="200">
        <v>10.457195458729672</v>
      </c>
      <c r="E69" s="201">
        <v>52.187642953059751</v>
      </c>
      <c r="F69" s="200">
        <v>18.345212271459559</v>
      </c>
      <c r="G69" s="200">
        <v>29.467144775480691</v>
      </c>
      <c r="H69" s="202">
        <v>69.126792363146635</v>
      </c>
      <c r="I69" s="200">
        <v>18.362314822150044</v>
      </c>
      <c r="J69" s="200">
        <v>12.51089281470332</v>
      </c>
      <c r="K69" s="201">
        <v>46.861702127659576</v>
      </c>
      <c r="L69" s="200">
        <v>24.843971631205676</v>
      </c>
      <c r="M69" s="203">
        <v>28.294326241134755</v>
      </c>
      <c r="N69" s="434"/>
      <c r="O69" s="202">
        <v>71.827222536806346</v>
      </c>
      <c r="P69" s="200">
        <v>15.350721970554925</v>
      </c>
      <c r="Q69" s="200">
        <v>12.822055492638732</v>
      </c>
      <c r="R69" s="201">
        <v>49.545454545454547</v>
      </c>
      <c r="S69" s="200">
        <v>23.111527647610121</v>
      </c>
      <c r="T69" s="200">
        <v>27.343017806935332</v>
      </c>
      <c r="U69" s="202">
        <v>64.621664432801268</v>
      </c>
      <c r="V69" s="200">
        <v>22.578286828317289</v>
      </c>
      <c r="W69" s="200">
        <v>12.800048738881442</v>
      </c>
      <c r="X69" s="201">
        <v>38.333961552958911</v>
      </c>
      <c r="Y69" s="200">
        <v>35.130041462495285</v>
      </c>
      <c r="Z69" s="203">
        <v>26.535996984545797</v>
      </c>
      <c r="AA69" s="200">
        <v>68.722088629336994</v>
      </c>
      <c r="AB69" s="204">
        <v>21.092408107179665</v>
      </c>
      <c r="AC69" s="200">
        <v>10.185503263483339</v>
      </c>
      <c r="AD69" s="201">
        <v>39.12483912483912</v>
      </c>
      <c r="AE69" s="200">
        <v>13.513513513513514</v>
      </c>
      <c r="AF69" s="205">
        <v>47.361647361647364</v>
      </c>
    </row>
    <row r="70" spans="1:32" x14ac:dyDescent="0.25">
      <c r="A70" s="199" t="s">
        <v>366</v>
      </c>
      <c r="B70" s="200">
        <v>76.300272524568499</v>
      </c>
      <c r="C70" s="200">
        <v>15.58055991411347</v>
      </c>
      <c r="D70" s="200">
        <v>8.1191675613180276</v>
      </c>
      <c r="E70" s="201">
        <v>52.79789206597053</v>
      </c>
      <c r="F70" s="200">
        <v>23.76110080999317</v>
      </c>
      <c r="G70" s="200">
        <v>23.441007124036304</v>
      </c>
      <c r="H70" s="202">
        <v>74.116723865709886</v>
      </c>
      <c r="I70" s="200">
        <v>15.3057076136181</v>
      </c>
      <c r="J70" s="200">
        <v>10.577568520672017</v>
      </c>
      <c r="K70" s="201">
        <v>50.735345694311299</v>
      </c>
      <c r="L70" s="200">
        <v>24.496714910332251</v>
      </c>
      <c r="M70" s="203">
        <v>24.76793939535645</v>
      </c>
      <c r="N70" s="434"/>
      <c r="O70" s="202">
        <v>73.875714999722334</v>
      </c>
      <c r="P70" s="200">
        <v>15.921030710279336</v>
      </c>
      <c r="Q70" s="200">
        <v>10.203254289998334</v>
      </c>
      <c r="R70" s="201">
        <v>50.298105840763995</v>
      </c>
      <c r="S70" s="200">
        <v>24.972299899752016</v>
      </c>
      <c r="T70" s="200">
        <v>24.729594259483985</v>
      </c>
      <c r="U70" s="202">
        <v>73.831559034088798</v>
      </c>
      <c r="V70" s="200">
        <v>14.48866797729886</v>
      </c>
      <c r="W70" s="200">
        <v>11.679772988612337</v>
      </c>
      <c r="X70" s="201">
        <v>55.276812491074402</v>
      </c>
      <c r="Y70" s="200">
        <v>23.739705812348262</v>
      </c>
      <c r="Z70" s="203">
        <v>20.983481696577329</v>
      </c>
      <c r="AA70" s="200">
        <v>76.640821601033807</v>
      </c>
      <c r="AB70" s="204">
        <v>14.531048085424745</v>
      </c>
      <c r="AC70" s="200">
        <v>8.8281303135414539</v>
      </c>
      <c r="AD70" s="201">
        <v>41.546082648937556</v>
      </c>
      <c r="AE70" s="200">
        <v>23.03480641376613</v>
      </c>
      <c r="AF70" s="205">
        <v>35.41911093729631</v>
      </c>
    </row>
    <row r="71" spans="1:32" x14ac:dyDescent="0.25">
      <c r="A71" s="199" t="s">
        <v>367</v>
      </c>
      <c r="B71" s="200">
        <v>81.080206985769735</v>
      </c>
      <c r="C71" s="200">
        <v>14.257222940922812</v>
      </c>
      <c r="D71" s="200">
        <v>4.6625700733074602</v>
      </c>
      <c r="E71" s="201">
        <v>52.928187403993853</v>
      </c>
      <c r="F71" s="200">
        <v>15.72100614439324</v>
      </c>
      <c r="G71" s="200">
        <v>31.350806451612907</v>
      </c>
      <c r="H71" s="202">
        <v>78.080976449080538</v>
      </c>
      <c r="I71" s="200">
        <v>11.665232820733412</v>
      </c>
      <c r="J71" s="200">
        <v>10.25379073018604</v>
      </c>
      <c r="K71" s="201">
        <v>59.25155925155925</v>
      </c>
      <c r="L71" s="200">
        <v>17.117117117117118</v>
      </c>
      <c r="M71" s="203">
        <v>23.631323631323632</v>
      </c>
      <c r="N71" s="434"/>
      <c r="O71" s="202">
        <v>81.159795147690232</v>
      </c>
      <c r="P71" s="200">
        <v>11.535875019398894</v>
      </c>
      <c r="Q71" s="200">
        <v>7.3043298329108692</v>
      </c>
      <c r="R71" s="201">
        <v>61.299222473037375</v>
      </c>
      <c r="S71" s="200">
        <v>12.214697767745172</v>
      </c>
      <c r="T71" s="200">
        <v>26.486079759217457</v>
      </c>
      <c r="U71" s="202">
        <v>75.193057292049716</v>
      </c>
      <c r="V71" s="200">
        <v>13.091123041847466</v>
      </c>
      <c r="W71" s="200">
        <v>11.715819666102817</v>
      </c>
      <c r="X71" s="201">
        <v>71.713362068965509</v>
      </c>
      <c r="Y71" s="200">
        <v>23.275862068965516</v>
      </c>
      <c r="Z71" s="203">
        <v>5.0107758620689653</v>
      </c>
      <c r="AA71" s="200">
        <v>73.336457357075915</v>
      </c>
      <c r="AB71" s="204">
        <v>7.7085285848172456</v>
      </c>
      <c r="AC71" s="200">
        <v>18.95501405810684</v>
      </c>
      <c r="AD71" s="201">
        <v>36.443148688046648</v>
      </c>
      <c r="AE71" s="200">
        <v>23.03206997084548</v>
      </c>
      <c r="AF71" s="205">
        <v>40.524781341107875</v>
      </c>
    </row>
    <row r="72" spans="1:32" x14ac:dyDescent="0.25">
      <c r="A72" s="199" t="s">
        <v>368</v>
      </c>
      <c r="B72" s="200">
        <v>78.924808716901012</v>
      </c>
      <c r="C72" s="200">
        <v>12.446420702639907</v>
      </c>
      <c r="D72" s="200">
        <v>8.6287705804590793</v>
      </c>
      <c r="E72" s="201">
        <v>51.58787010506208</v>
      </c>
      <c r="F72" s="200">
        <v>23.944603629417383</v>
      </c>
      <c r="G72" s="200">
        <v>24.467526265520533</v>
      </c>
      <c r="H72" s="202">
        <v>75.764138516153523</v>
      </c>
      <c r="I72" s="200">
        <v>13.871709571546583</v>
      </c>
      <c r="J72" s="200">
        <v>10.364151912299894</v>
      </c>
      <c r="K72" s="201">
        <v>54.612446467842126</v>
      </c>
      <c r="L72" s="200">
        <v>25.363632856205871</v>
      </c>
      <c r="M72" s="203">
        <v>20.023920675952002</v>
      </c>
      <c r="N72" s="434"/>
      <c r="O72" s="202">
        <v>75.798225688938416</v>
      </c>
      <c r="P72" s="200">
        <v>13.821626023228903</v>
      </c>
      <c r="Q72" s="200">
        <v>10.380148287832682</v>
      </c>
      <c r="R72" s="201">
        <v>57.090571079997673</v>
      </c>
      <c r="S72" s="200">
        <v>22.634055655609135</v>
      </c>
      <c r="T72" s="200">
        <v>20.275373264393188</v>
      </c>
      <c r="U72" s="202">
        <v>76.731284475965325</v>
      </c>
      <c r="V72" s="200">
        <v>13.412135539795115</v>
      </c>
      <c r="W72" s="200">
        <v>9.8565799842395592</v>
      </c>
      <c r="X72" s="201">
        <v>60.696876692543775</v>
      </c>
      <c r="Y72" s="200">
        <v>29.319371727748688</v>
      </c>
      <c r="Z72" s="203">
        <v>9.983751579707528</v>
      </c>
      <c r="AA72" s="200">
        <v>72.885750044698725</v>
      </c>
      <c r="AB72" s="204">
        <v>15.385303057393171</v>
      </c>
      <c r="AC72" s="200">
        <v>11.728946897908099</v>
      </c>
      <c r="AD72" s="201">
        <v>30.502052415535207</v>
      </c>
      <c r="AE72" s="200">
        <v>33.280707293969058</v>
      </c>
      <c r="AF72" s="205">
        <v>36.217240290495738</v>
      </c>
    </row>
    <row r="73" spans="1:32" x14ac:dyDescent="0.25">
      <c r="A73" s="199" t="s">
        <v>369</v>
      </c>
      <c r="B73" s="200">
        <v>77.29678861310434</v>
      </c>
      <c r="C73" s="200">
        <v>13.621926832137396</v>
      </c>
      <c r="D73" s="200">
        <v>9.0812845547582643</v>
      </c>
      <c r="E73" s="201">
        <v>52.411074440777419</v>
      </c>
      <c r="F73" s="200">
        <v>20.535386872020535</v>
      </c>
      <c r="G73" s="200">
        <v>27.053538687202057</v>
      </c>
      <c r="H73" s="202">
        <v>81.179671986467611</v>
      </c>
      <c r="I73" s="200">
        <v>12.495403397808341</v>
      </c>
      <c r="J73" s="200">
        <v>6.324924615724056</v>
      </c>
      <c r="K73" s="201">
        <v>42.72334293948127</v>
      </c>
      <c r="L73" s="200">
        <v>32.168587896253605</v>
      </c>
      <c r="M73" s="203">
        <v>25.108069164265128</v>
      </c>
      <c r="N73" s="434"/>
      <c r="O73" s="202">
        <v>80.841286673736306</v>
      </c>
      <c r="P73" s="200">
        <v>12.583951926475786</v>
      </c>
      <c r="Q73" s="200">
        <v>6.5747613997879109</v>
      </c>
      <c r="R73" s="201">
        <v>38.487777146105742</v>
      </c>
      <c r="S73" s="200">
        <v>32.916429789653215</v>
      </c>
      <c r="T73" s="200">
        <v>28.59579306424105</v>
      </c>
      <c r="U73" s="202">
        <v>80.22540983606558</v>
      </c>
      <c r="V73" s="200">
        <v>12.167008196721312</v>
      </c>
      <c r="W73" s="200">
        <v>7.6075819672131146</v>
      </c>
      <c r="X73" s="201">
        <v>59.186046511627907</v>
      </c>
      <c r="Y73" s="200">
        <v>22.093023255813954</v>
      </c>
      <c r="Z73" s="203">
        <v>18.720930232558139</v>
      </c>
      <c r="AA73" s="200">
        <v>86.710963455149511</v>
      </c>
      <c r="AB73" s="204">
        <v>12.956810631229235</v>
      </c>
      <c r="AC73" s="200">
        <v>0.33222591362126247</v>
      </c>
      <c r="AD73" s="201">
        <v>0</v>
      </c>
      <c r="AE73" s="200">
        <v>78.343949044585997</v>
      </c>
      <c r="AF73" s="205">
        <v>21.656050955414013</v>
      </c>
    </row>
    <row r="74" spans="1:32" x14ac:dyDescent="0.25">
      <c r="A74" s="199" t="s">
        <v>370</v>
      </c>
      <c r="B74" s="200">
        <v>66.582640988301321</v>
      </c>
      <c r="C74" s="200">
        <v>20.82512625983189</v>
      </c>
      <c r="D74" s="200">
        <v>12.592232751866787</v>
      </c>
      <c r="E74" s="201">
        <v>51.792108368719923</v>
      </c>
      <c r="F74" s="200">
        <v>20.554149057422109</v>
      </c>
      <c r="G74" s="200">
        <v>27.653742573857965</v>
      </c>
      <c r="H74" s="202">
        <v>66.799445151372751</v>
      </c>
      <c r="I74" s="200">
        <v>17.562588297943758</v>
      </c>
      <c r="J74" s="200">
        <v>15.63796655068349</v>
      </c>
      <c r="K74" s="201">
        <v>43.207997346757949</v>
      </c>
      <c r="L74" s="200">
        <v>22.821594222268423</v>
      </c>
      <c r="M74" s="203">
        <v>33.970408430973634</v>
      </c>
      <c r="N74" s="434"/>
      <c r="O74" s="202">
        <v>67.766368686521332</v>
      </c>
      <c r="P74" s="200">
        <v>17.571269333132634</v>
      </c>
      <c r="Q74" s="200">
        <v>14.662361980346027</v>
      </c>
      <c r="R74" s="201">
        <v>46.811595968950684</v>
      </c>
      <c r="S74" s="200">
        <v>20.840898659160239</v>
      </c>
      <c r="T74" s="200">
        <v>32.347505371889078</v>
      </c>
      <c r="U74" s="202">
        <v>65.124639349499901</v>
      </c>
      <c r="V74" s="200">
        <v>17.684861580935703</v>
      </c>
      <c r="W74" s="200">
        <v>17.190499069564392</v>
      </c>
      <c r="X74" s="201">
        <v>39.354717688988934</v>
      </c>
      <c r="Y74" s="200">
        <v>28.07017543859649</v>
      </c>
      <c r="Z74" s="203">
        <v>32.57510687241458</v>
      </c>
      <c r="AA74" s="200">
        <v>66.397447471246153</v>
      </c>
      <c r="AB74" s="204">
        <v>17.170993239657918</v>
      </c>
      <c r="AC74" s="200">
        <v>16.431559289095933</v>
      </c>
      <c r="AD74" s="201">
        <v>34.423127928565108</v>
      </c>
      <c r="AE74" s="200">
        <v>22.042259747148794</v>
      </c>
      <c r="AF74" s="205">
        <v>43.534612324286094</v>
      </c>
    </row>
    <row r="75" spans="1:32" x14ac:dyDescent="0.25">
      <c r="A75" s="199" t="s">
        <v>371</v>
      </c>
      <c r="B75" s="200">
        <v>65.194865450046407</v>
      </c>
      <c r="C75" s="200">
        <v>19.347355397463655</v>
      </c>
      <c r="D75" s="200">
        <v>15.457779152489948</v>
      </c>
      <c r="E75" s="201">
        <v>34.81833729612481</v>
      </c>
      <c r="F75" s="200">
        <v>31.197597296959078</v>
      </c>
      <c r="G75" s="200">
        <v>33.984065406916116</v>
      </c>
      <c r="H75" s="202">
        <v>72.48254971684446</v>
      </c>
      <c r="I75" s="200">
        <v>11.600158040300276</v>
      </c>
      <c r="J75" s="200">
        <v>15.917292242855261</v>
      </c>
      <c r="K75" s="201">
        <v>48.897128731698039</v>
      </c>
      <c r="L75" s="200">
        <v>18.805856626735121</v>
      </c>
      <c r="M75" s="203">
        <v>32.29701464156684</v>
      </c>
      <c r="N75" s="434"/>
      <c r="O75" s="202">
        <v>68.431648882625325</v>
      </c>
      <c r="P75" s="200">
        <v>13.896718341050937</v>
      </c>
      <c r="Q75" s="200">
        <v>17.671632776323737</v>
      </c>
      <c r="R75" s="201">
        <v>45.757623637225471</v>
      </c>
      <c r="S75" s="200">
        <v>22.75240954337178</v>
      </c>
      <c r="T75" s="200">
        <v>31.489966819402749</v>
      </c>
      <c r="U75" s="202">
        <v>73.778798194917272</v>
      </c>
      <c r="V75" s="200">
        <v>8.5345578339007204</v>
      </c>
      <c r="W75" s="200">
        <v>17.686643971182011</v>
      </c>
      <c r="X75" s="201">
        <v>59.347382732834809</v>
      </c>
      <c r="Y75" s="200">
        <v>12.610469068660777</v>
      </c>
      <c r="Z75" s="203">
        <v>28.042148198504417</v>
      </c>
      <c r="AA75" s="200">
        <v>84.211489206000735</v>
      </c>
      <c r="AB75" s="204">
        <v>10.336626417855836</v>
      </c>
      <c r="AC75" s="200">
        <v>5.4518843761434326</v>
      </c>
      <c r="AD75" s="201">
        <v>40.176423416198872</v>
      </c>
      <c r="AE75" s="200">
        <v>13.39214113873296</v>
      </c>
      <c r="AF75" s="205">
        <v>46.431435445068168</v>
      </c>
    </row>
    <row r="76" spans="1:32" x14ac:dyDescent="0.25">
      <c r="A76" s="199" t="s">
        <v>372</v>
      </c>
      <c r="B76" s="200">
        <v>79.9015024884079</v>
      </c>
      <c r="C76" s="200">
        <v>14.507842970601844</v>
      </c>
      <c r="D76" s="200">
        <v>5.590654540990263</v>
      </c>
      <c r="E76" s="201">
        <v>51.221640973754866</v>
      </c>
      <c r="F76" s="200">
        <v>20.897704593592429</v>
      </c>
      <c r="G76" s="200">
        <v>27.880654432652697</v>
      </c>
      <c r="H76" s="202">
        <v>74.942310138273967</v>
      </c>
      <c r="I76" s="200">
        <v>14.568128546942285</v>
      </c>
      <c r="J76" s="200">
        <v>10.489561314783746</v>
      </c>
      <c r="K76" s="201">
        <v>47.491427446674059</v>
      </c>
      <c r="L76" s="200">
        <v>22.83458856923826</v>
      </c>
      <c r="M76" s="203">
        <v>29.67398398408768</v>
      </c>
      <c r="N76" s="434"/>
      <c r="O76" s="202">
        <v>78.387843096014294</v>
      </c>
      <c r="P76" s="200">
        <v>13.385739825428541</v>
      </c>
      <c r="Q76" s="200">
        <v>8.2264170785571569</v>
      </c>
      <c r="R76" s="201">
        <v>49.240654205607477</v>
      </c>
      <c r="S76" s="200">
        <v>22.480205088265837</v>
      </c>
      <c r="T76" s="200">
        <v>28.279140706126686</v>
      </c>
      <c r="U76" s="202">
        <v>72.182747796011199</v>
      </c>
      <c r="V76" s="200">
        <v>15.261565067012539</v>
      </c>
      <c r="W76" s="200">
        <v>12.55568713697626</v>
      </c>
      <c r="X76" s="201">
        <v>48.722229356620005</v>
      </c>
      <c r="Y76" s="200">
        <v>26.454346988570691</v>
      </c>
      <c r="Z76" s="203">
        <v>24.8234236548093</v>
      </c>
      <c r="AA76" s="200">
        <v>64.19015340706386</v>
      </c>
      <c r="AB76" s="204">
        <v>19.059935783089546</v>
      </c>
      <c r="AC76" s="200">
        <v>16.749910809846593</v>
      </c>
      <c r="AD76" s="201">
        <v>35.648027741655831</v>
      </c>
      <c r="AE76" s="200">
        <v>17.399219765929779</v>
      </c>
      <c r="AF76" s="205">
        <v>46.95275249241439</v>
      </c>
    </row>
    <row r="77" spans="1:32" x14ac:dyDescent="0.25">
      <c r="A77" s="199" t="s">
        <v>373</v>
      </c>
      <c r="B77" s="200">
        <v>75.872638107601333</v>
      </c>
      <c r="C77" s="200">
        <v>14.376893119861531</v>
      </c>
      <c r="D77" s="200">
        <v>9.7504687725371415</v>
      </c>
      <c r="E77" s="201">
        <v>51.457415043366986</v>
      </c>
      <c r="F77" s="200">
        <v>26.66714062277833</v>
      </c>
      <c r="G77" s="200">
        <v>21.875444333854684</v>
      </c>
      <c r="H77" s="202">
        <v>80.786494925839193</v>
      </c>
      <c r="I77" s="200">
        <v>11.485167837626854</v>
      </c>
      <c r="J77" s="200">
        <v>7.7283372365339584</v>
      </c>
      <c r="K77" s="201">
        <v>50.645291389393023</v>
      </c>
      <c r="L77" s="200">
        <v>24.500907441016334</v>
      </c>
      <c r="M77" s="203">
        <v>24.853801169590643</v>
      </c>
      <c r="N77" s="434"/>
      <c r="O77" s="202">
        <v>76.09504380175207</v>
      </c>
      <c r="P77" s="200">
        <v>14.928597143885755</v>
      </c>
      <c r="Q77" s="200">
        <v>8.9763590543621756</v>
      </c>
      <c r="R77" s="201">
        <v>44.543963668474831</v>
      </c>
      <c r="S77" s="200">
        <v>27.791093730288885</v>
      </c>
      <c r="T77" s="200">
        <v>27.66494260123628</v>
      </c>
      <c r="U77" s="202">
        <v>85.982349413075141</v>
      </c>
      <c r="V77" s="200">
        <v>7.497215320023991</v>
      </c>
      <c r="W77" s="200">
        <v>6.5204352669008649</v>
      </c>
      <c r="X77" s="201">
        <v>86.272640610104872</v>
      </c>
      <c r="Y77" s="200">
        <v>7.2449952335557679</v>
      </c>
      <c r="Z77" s="203">
        <v>6.4823641563393704</v>
      </c>
      <c r="AA77" s="200">
        <v>88.071487946799664</v>
      </c>
      <c r="AB77" s="204">
        <v>6.982543640897755</v>
      </c>
      <c r="AC77" s="200">
        <v>4.9459684123025767</v>
      </c>
      <c r="AD77" s="201">
        <v>62.274176408076507</v>
      </c>
      <c r="AE77" s="200">
        <v>16.046758767268862</v>
      </c>
      <c r="AF77" s="205">
        <v>21.679064824654624</v>
      </c>
    </row>
    <row r="78" spans="1:32" x14ac:dyDescent="0.25">
      <c r="A78" s="199" t="s">
        <v>374</v>
      </c>
      <c r="B78" s="200">
        <v>73.112161249879449</v>
      </c>
      <c r="C78" s="200">
        <v>14.495129713569293</v>
      </c>
      <c r="D78" s="200">
        <v>12.392709036551258</v>
      </c>
      <c r="E78" s="201">
        <v>54.24875621890547</v>
      </c>
      <c r="F78" s="200">
        <v>19.28358208955224</v>
      </c>
      <c r="G78" s="200">
        <v>26.46766169154229</v>
      </c>
      <c r="H78" s="202">
        <v>81.402091746919339</v>
      </c>
      <c r="I78" s="200">
        <v>9.0348969659314484</v>
      </c>
      <c r="J78" s="200">
        <v>9.5630112871492194</v>
      </c>
      <c r="K78" s="201">
        <v>62.080232347068431</v>
      </c>
      <c r="L78" s="200">
        <v>15.338536939553457</v>
      </c>
      <c r="M78" s="203">
        <v>22.581230713378108</v>
      </c>
      <c r="N78" s="434"/>
      <c r="O78" s="202">
        <v>80.765966475705497</v>
      </c>
      <c r="P78" s="200">
        <v>8.0521960534691281</v>
      </c>
      <c r="Q78" s="200">
        <v>11.181837470825377</v>
      </c>
      <c r="R78" s="201">
        <v>61.664033701948398</v>
      </c>
      <c r="S78" s="200">
        <v>12.690889942074776</v>
      </c>
      <c r="T78" s="200">
        <v>25.64507635597683</v>
      </c>
      <c r="U78" s="202">
        <v>84.895644830498256</v>
      </c>
      <c r="V78" s="200">
        <v>8.4328628302569673</v>
      </c>
      <c r="W78" s="200">
        <v>6.6714923392447822</v>
      </c>
      <c r="X78" s="201">
        <v>80.715705765407549</v>
      </c>
      <c r="Y78" s="200">
        <v>8.0516898608349905</v>
      </c>
      <c r="Z78" s="203">
        <v>11.232604373757455</v>
      </c>
      <c r="AA78" s="200">
        <v>67.021276595744681</v>
      </c>
      <c r="AB78" s="204">
        <v>17.959949937421776</v>
      </c>
      <c r="AC78" s="200">
        <v>15.018773466833544</v>
      </c>
      <c r="AD78" s="201">
        <v>37.784090909090914</v>
      </c>
      <c r="AE78" s="200">
        <v>39.914772727272727</v>
      </c>
      <c r="AF78" s="205">
        <v>22.301136363636363</v>
      </c>
    </row>
    <row r="79" spans="1:32" x14ac:dyDescent="0.25">
      <c r="A79" s="199" t="s">
        <v>375</v>
      </c>
      <c r="B79" s="200">
        <v>76.069046039829189</v>
      </c>
      <c r="C79" s="200">
        <v>14.815078742963017</v>
      </c>
      <c r="D79" s="200">
        <v>9.1158752172077904</v>
      </c>
      <c r="E79" s="201">
        <v>50.163367175764371</v>
      </c>
      <c r="F79" s="200">
        <v>19.257453810049856</v>
      </c>
      <c r="G79" s="200">
        <v>30.579179014185765</v>
      </c>
      <c r="H79" s="202">
        <v>72.907433116137497</v>
      </c>
      <c r="I79" s="200">
        <v>15.632099890083815</v>
      </c>
      <c r="J79" s="200">
        <v>11.46046699377869</v>
      </c>
      <c r="K79" s="201">
        <v>50.263206270158257</v>
      </c>
      <c r="L79" s="200">
        <v>17.802770768228079</v>
      </c>
      <c r="M79" s="203">
        <v>31.93402296161366</v>
      </c>
      <c r="N79" s="434"/>
      <c r="O79" s="202">
        <v>75.205163170564802</v>
      </c>
      <c r="P79" s="200">
        <v>14.578769365581817</v>
      </c>
      <c r="Q79" s="200">
        <v>10.216067463853376</v>
      </c>
      <c r="R79" s="201">
        <v>51.295954577714689</v>
      </c>
      <c r="S79" s="200">
        <v>17.198012775017745</v>
      </c>
      <c r="T79" s="200">
        <v>31.506032647267567</v>
      </c>
      <c r="U79" s="202">
        <v>70.713905307362552</v>
      </c>
      <c r="V79" s="200">
        <v>17.600991801918997</v>
      </c>
      <c r="W79" s="200">
        <v>11.685102890718445</v>
      </c>
      <c r="X79" s="201">
        <v>53.783724500987063</v>
      </c>
      <c r="Y79" s="200">
        <v>17.093347538620623</v>
      </c>
      <c r="Z79" s="203">
        <v>29.122927960392314</v>
      </c>
      <c r="AA79" s="200">
        <v>68.50713658546546</v>
      </c>
      <c r="AB79" s="204">
        <v>15.396238743797602</v>
      </c>
      <c r="AC79" s="200">
        <v>16.096624670736936</v>
      </c>
      <c r="AD79" s="201">
        <v>39.572624891712387</v>
      </c>
      <c r="AE79" s="200">
        <v>21.570892289922032</v>
      </c>
      <c r="AF79" s="205">
        <v>38.856482818365578</v>
      </c>
    </row>
    <row r="80" spans="1:32" x14ac:dyDescent="0.25">
      <c r="A80" s="199" t="s">
        <v>376</v>
      </c>
      <c r="B80" s="200">
        <v>75.062166962699834</v>
      </c>
      <c r="C80" s="200">
        <v>16.056838365896979</v>
      </c>
      <c r="D80" s="200">
        <v>8.8809946714031973</v>
      </c>
      <c r="E80" s="201">
        <v>44.353899883585562</v>
      </c>
      <c r="F80" s="200">
        <v>39.798214978657356</v>
      </c>
      <c r="G80" s="200">
        <v>15.847885137757082</v>
      </c>
      <c r="H80" s="202">
        <v>77.754394652141627</v>
      </c>
      <c r="I80" s="200">
        <v>9.8085334653792202</v>
      </c>
      <c r="J80" s="200">
        <v>12.437071882479161</v>
      </c>
      <c r="K80" s="201">
        <v>45.829268292682926</v>
      </c>
      <c r="L80" s="200">
        <v>27.146341463414636</v>
      </c>
      <c r="M80" s="203">
        <v>27.024390243902442</v>
      </c>
      <c r="N80" s="434"/>
      <c r="O80" s="202">
        <v>73.223322332233224</v>
      </c>
      <c r="P80" s="200">
        <v>10.003667033370004</v>
      </c>
      <c r="Q80" s="200">
        <v>16.773010634396773</v>
      </c>
      <c r="R80" s="201">
        <v>49.302093718843473</v>
      </c>
      <c r="S80" s="200">
        <v>16.50049850448654</v>
      </c>
      <c r="T80" s="200">
        <v>34.197407776669991</v>
      </c>
      <c r="U80" s="202">
        <v>82.134484885872922</v>
      </c>
      <c r="V80" s="200">
        <v>10.030845157310301</v>
      </c>
      <c r="W80" s="200">
        <v>7.8346699568167795</v>
      </c>
      <c r="X80" s="201">
        <v>45.798319327731093</v>
      </c>
      <c r="Y80" s="200">
        <v>39.195678271308523</v>
      </c>
      <c r="Z80" s="203">
        <v>15.006002400960384</v>
      </c>
      <c r="AA80" s="200">
        <v>88.327316486161251</v>
      </c>
      <c r="AB80" s="204">
        <v>7.9823505816285598</v>
      </c>
      <c r="AC80" s="200">
        <v>3.6903329322101888</v>
      </c>
      <c r="AD80" s="201">
        <v>29.603729603729604</v>
      </c>
      <c r="AE80" s="200">
        <v>30.303030303030305</v>
      </c>
      <c r="AF80" s="205">
        <v>40.093240093240098</v>
      </c>
    </row>
    <row r="81" spans="1:32" x14ac:dyDescent="0.25">
      <c r="A81" s="199" t="s">
        <v>377</v>
      </c>
      <c r="B81" s="200">
        <v>69.925648381242311</v>
      </c>
      <c r="C81" s="200">
        <v>11.755752005151923</v>
      </c>
      <c r="D81" s="200">
        <v>18.318599613605759</v>
      </c>
      <c r="E81" s="201">
        <v>36.170025779235999</v>
      </c>
      <c r="F81" s="200">
        <v>18.77197093977033</v>
      </c>
      <c r="G81" s="200">
        <v>45.058003280993674</v>
      </c>
      <c r="H81" s="202">
        <v>77.286075536340647</v>
      </c>
      <c r="I81" s="200">
        <v>12.880332816706094</v>
      </c>
      <c r="J81" s="200">
        <v>9.8335916469532592</v>
      </c>
      <c r="K81" s="201">
        <v>48.391051179895797</v>
      </c>
      <c r="L81" s="200">
        <v>19.322709163346612</v>
      </c>
      <c r="M81" s="203">
        <v>32.286239656757587</v>
      </c>
      <c r="N81" s="434"/>
      <c r="O81" s="202">
        <v>78.963528795027344</v>
      </c>
      <c r="P81" s="200">
        <v>16.108739609076611</v>
      </c>
      <c r="Q81" s="200">
        <v>4.927731595896053</v>
      </c>
      <c r="R81" s="201">
        <v>32.508465746288095</v>
      </c>
      <c r="S81" s="200">
        <v>20.135451940609535</v>
      </c>
      <c r="T81" s="200">
        <v>47.35608231310237</v>
      </c>
      <c r="U81" s="202">
        <v>75.216426193118764</v>
      </c>
      <c r="V81" s="200">
        <v>8.6792452830188669</v>
      </c>
      <c r="W81" s="200">
        <v>16.104328523862375</v>
      </c>
      <c r="X81" s="201">
        <v>76.13636363636364</v>
      </c>
      <c r="Y81" s="200">
        <v>10.466507177033494</v>
      </c>
      <c r="Z81" s="203">
        <v>13.397129186602871</v>
      </c>
      <c r="AA81" s="200">
        <v>75.615420343706447</v>
      </c>
      <c r="AB81" s="204">
        <v>10.404087320018579</v>
      </c>
      <c r="AC81" s="200">
        <v>13.980492336274967</v>
      </c>
      <c r="AD81" s="201">
        <v>62.758620689655174</v>
      </c>
      <c r="AE81" s="200">
        <v>30.83743842364532</v>
      </c>
      <c r="AF81" s="205">
        <v>6.403940886699508</v>
      </c>
    </row>
    <row r="82" spans="1:32" x14ac:dyDescent="0.25">
      <c r="A82" s="199" t="s">
        <v>378</v>
      </c>
      <c r="B82" s="200">
        <v>70.034870570495102</v>
      </c>
      <c r="C82" s="200">
        <v>20.94904498617743</v>
      </c>
      <c r="D82" s="200">
        <v>9.0160844433274701</v>
      </c>
      <c r="E82" s="201">
        <v>49.017420537897308</v>
      </c>
      <c r="F82" s="200">
        <v>27.336491442542787</v>
      </c>
      <c r="G82" s="200">
        <v>23.646088019559901</v>
      </c>
      <c r="H82" s="202">
        <v>73.733633257644883</v>
      </c>
      <c r="I82" s="200">
        <v>14.418649067334421</v>
      </c>
      <c r="J82" s="200">
        <v>11.847717675020689</v>
      </c>
      <c r="K82" s="201">
        <v>48.609643060411415</v>
      </c>
      <c r="L82" s="200">
        <v>28.778762501016342</v>
      </c>
      <c r="M82" s="203">
        <v>22.61159443857224</v>
      </c>
      <c r="N82" s="434"/>
      <c r="O82" s="202">
        <v>74.797915981513853</v>
      </c>
      <c r="P82" s="200">
        <v>14.629671299742094</v>
      </c>
      <c r="Q82" s="200">
        <v>10.572412718744049</v>
      </c>
      <c r="R82" s="201">
        <v>54.491855093605643</v>
      </c>
      <c r="S82" s="200">
        <v>25.820568927789932</v>
      </c>
      <c r="T82" s="200">
        <v>19.687575978604425</v>
      </c>
      <c r="U82" s="202">
        <v>70.654079568442356</v>
      </c>
      <c r="V82" s="200">
        <v>15.141604855023601</v>
      </c>
      <c r="W82" s="200">
        <v>14.204315576534052</v>
      </c>
      <c r="X82" s="201">
        <v>38.11307294453362</v>
      </c>
      <c r="Y82" s="200">
        <v>36.775459247369355</v>
      </c>
      <c r="Z82" s="203">
        <v>25.111467808097022</v>
      </c>
      <c r="AA82" s="200">
        <v>78.115367679436375</v>
      </c>
      <c r="AB82" s="204">
        <v>9.481872890063114</v>
      </c>
      <c r="AC82" s="200">
        <v>12.402759430500513</v>
      </c>
      <c r="AD82" s="201">
        <v>33.674675068924778</v>
      </c>
      <c r="AE82" s="200">
        <v>30.287514769594324</v>
      </c>
      <c r="AF82" s="205">
        <v>36.037810161480898</v>
      </c>
    </row>
    <row r="83" spans="1:32" x14ac:dyDescent="0.25">
      <c r="A83" s="199" t="s">
        <v>379</v>
      </c>
      <c r="B83" s="200">
        <v>74.845639310522245</v>
      </c>
      <c r="C83" s="200">
        <v>17.146899922819657</v>
      </c>
      <c r="D83" s="200">
        <v>8.0074607666580899</v>
      </c>
      <c r="E83" s="201">
        <v>38.822191330721594</v>
      </c>
      <c r="F83" s="200">
        <v>19.642781920047181</v>
      </c>
      <c r="G83" s="200">
        <v>41.535026749231221</v>
      </c>
      <c r="H83" s="202">
        <v>85.70302721246118</v>
      </c>
      <c r="I83" s="200">
        <v>9.920726901858977</v>
      </c>
      <c r="J83" s="200">
        <v>4.3762458856798476</v>
      </c>
      <c r="K83" s="201">
        <v>55.016357688113416</v>
      </c>
      <c r="L83" s="200">
        <v>28.789531079607418</v>
      </c>
      <c r="M83" s="203">
        <v>16.19411123227917</v>
      </c>
      <c r="N83" s="434"/>
      <c r="O83" s="202">
        <v>85.142185318539205</v>
      </c>
      <c r="P83" s="200">
        <v>10.46366375192887</v>
      </c>
      <c r="Q83" s="200">
        <v>4.3941509295319277</v>
      </c>
      <c r="R83" s="201">
        <v>55.051546391752581</v>
      </c>
      <c r="S83" s="200">
        <v>26.958762886597938</v>
      </c>
      <c r="T83" s="200">
        <v>17.989690721649485</v>
      </c>
      <c r="U83" s="202">
        <v>85.76910777102654</v>
      </c>
      <c r="V83" s="200">
        <v>8.8903102014710598</v>
      </c>
      <c r="W83" s="200">
        <v>5.3405820275023981</v>
      </c>
      <c r="X83" s="201">
        <v>51.456310679611647</v>
      </c>
      <c r="Y83" s="200">
        <v>39.708737864077669</v>
      </c>
      <c r="Z83" s="203">
        <v>8.8349514563106801</v>
      </c>
      <c r="AA83" s="200">
        <v>89.929742388758783</v>
      </c>
      <c r="AB83" s="204">
        <v>9.3676814988290413</v>
      </c>
      <c r="AC83" s="200">
        <v>0.70257611241217799</v>
      </c>
      <c r="AD83" s="201">
        <v>60.979729729729726</v>
      </c>
      <c r="AE83" s="200">
        <v>21.79054054054054</v>
      </c>
      <c r="AF83" s="205">
        <v>17.22972972972973</v>
      </c>
    </row>
    <row r="84" spans="1:32" x14ac:dyDescent="0.25">
      <c r="A84" s="199" t="s">
        <v>380</v>
      </c>
      <c r="B84" s="200">
        <v>78.402240286258802</v>
      </c>
      <c r="C84" s="200">
        <v>14.627980241919799</v>
      </c>
      <c r="D84" s="200">
        <v>6.9697794718213997</v>
      </c>
      <c r="E84" s="201">
        <v>51.622944830105958</v>
      </c>
      <c r="F84" s="200">
        <v>21.375228352210449</v>
      </c>
      <c r="G84" s="200">
        <v>27.001826817683593</v>
      </c>
      <c r="H84" s="202">
        <v>76.403149911873612</v>
      </c>
      <c r="I84" s="200">
        <v>13.491421826237406</v>
      </c>
      <c r="J84" s="200">
        <v>10.105428261888976</v>
      </c>
      <c r="K84" s="201">
        <v>52.383448943377964</v>
      </c>
      <c r="L84" s="200">
        <v>17.587514115179868</v>
      </c>
      <c r="M84" s="203">
        <v>30.029036941442165</v>
      </c>
      <c r="N84" s="434"/>
      <c r="O84" s="202">
        <v>77.589788832602878</v>
      </c>
      <c r="P84" s="200">
        <v>12.44521600546417</v>
      </c>
      <c r="Q84" s="200">
        <v>9.9649951619329507</v>
      </c>
      <c r="R84" s="201">
        <v>53.007396127909502</v>
      </c>
      <c r="S84" s="200">
        <v>16.521644550793997</v>
      </c>
      <c r="T84" s="200">
        <v>30.470959321296498</v>
      </c>
      <c r="U84" s="202">
        <v>75.504551803863009</v>
      </c>
      <c r="V84" s="200">
        <v>14.989644044121189</v>
      </c>
      <c r="W84" s="200">
        <v>9.5058041520157985</v>
      </c>
      <c r="X84" s="201">
        <v>51.660215929924625</v>
      </c>
      <c r="Y84" s="200">
        <v>22.122631900590754</v>
      </c>
      <c r="Z84" s="203">
        <v>26.217152169484621</v>
      </c>
      <c r="AA84" s="200">
        <v>72.52691790040376</v>
      </c>
      <c r="AB84" s="204">
        <v>14.44313593539704</v>
      </c>
      <c r="AC84" s="200">
        <v>13.029946164199194</v>
      </c>
      <c r="AD84" s="201">
        <v>47.098065376917944</v>
      </c>
      <c r="AE84" s="200">
        <v>15.810540360240161</v>
      </c>
      <c r="AF84" s="205">
        <v>37.091394262841895</v>
      </c>
    </row>
    <row r="85" spans="1:32" x14ac:dyDescent="0.25">
      <c r="A85" s="199" t="s">
        <v>381</v>
      </c>
      <c r="B85" s="200">
        <v>71.251152185514002</v>
      </c>
      <c r="C85" s="200">
        <v>17.552030272158348</v>
      </c>
      <c r="D85" s="200">
        <v>11.196817542327658</v>
      </c>
      <c r="E85" s="201">
        <v>54.492175699353517</v>
      </c>
      <c r="F85" s="200">
        <v>22.666304150806599</v>
      </c>
      <c r="G85" s="200">
        <v>22.841520149839887</v>
      </c>
      <c r="H85" s="202">
        <v>76.455683624801267</v>
      </c>
      <c r="I85" s="200">
        <v>13.712241653418126</v>
      </c>
      <c r="J85" s="200">
        <v>9.8320747217806037</v>
      </c>
      <c r="K85" s="201">
        <v>54.769270430523335</v>
      </c>
      <c r="L85" s="200">
        <v>24.671307037896366</v>
      </c>
      <c r="M85" s="203">
        <v>20.559422531580303</v>
      </c>
      <c r="N85" s="434"/>
      <c r="O85" s="202">
        <v>77.936157398112826</v>
      </c>
      <c r="P85" s="200">
        <v>13.139931740614335</v>
      </c>
      <c r="Q85" s="200">
        <v>8.9239108612728373</v>
      </c>
      <c r="R85" s="201">
        <v>56.988734008019861</v>
      </c>
      <c r="S85" s="200">
        <v>25.186175291197248</v>
      </c>
      <c r="T85" s="200">
        <v>17.825090700782891</v>
      </c>
      <c r="U85" s="202">
        <v>75.679697010685786</v>
      </c>
      <c r="V85" s="200">
        <v>13.472203435682403</v>
      </c>
      <c r="W85" s="200">
        <v>10.848099553631814</v>
      </c>
      <c r="X85" s="201">
        <v>54.000542446433421</v>
      </c>
      <c r="Y85" s="200">
        <v>24.464334147002983</v>
      </c>
      <c r="Z85" s="203">
        <v>21.535123406563603</v>
      </c>
      <c r="AA85" s="200">
        <v>73.205914172376481</v>
      </c>
      <c r="AB85" s="204">
        <v>16.426253155427332</v>
      </c>
      <c r="AC85" s="200">
        <v>10.367832672196178</v>
      </c>
      <c r="AD85" s="201">
        <v>39.67551622418879</v>
      </c>
      <c r="AE85" s="200">
        <v>21.312684365781713</v>
      </c>
      <c r="AF85" s="205">
        <v>39.011799410029496</v>
      </c>
    </row>
    <row r="86" spans="1:32" x14ac:dyDescent="0.25">
      <c r="A86" s="199" t="s">
        <v>382</v>
      </c>
      <c r="B86" s="200">
        <v>87.958561852528945</v>
      </c>
      <c r="C86" s="200">
        <v>9.0310786106032914</v>
      </c>
      <c r="D86" s="200">
        <v>3.0103595368677634</v>
      </c>
      <c r="E86" s="201">
        <v>57.660751764930353</v>
      </c>
      <c r="F86" s="200">
        <v>19.27113146346117</v>
      </c>
      <c r="G86" s="200">
        <v>23.068116771608473</v>
      </c>
      <c r="H86" s="202">
        <v>83.660951817913102</v>
      </c>
      <c r="I86" s="200">
        <v>9.8728938811705582</v>
      </c>
      <c r="J86" s="200">
        <v>6.4661543009163465</v>
      </c>
      <c r="K86" s="201">
        <v>70.178849144634526</v>
      </c>
      <c r="L86" s="200">
        <v>9.0202177293934671</v>
      </c>
      <c r="M86" s="203">
        <v>20.800933125972008</v>
      </c>
      <c r="N86" s="434"/>
      <c r="O86" s="202">
        <v>83.046718257380334</v>
      </c>
      <c r="P86" s="200">
        <v>10.103181427343078</v>
      </c>
      <c r="Q86" s="200">
        <v>6.8501003152765829</v>
      </c>
      <c r="R86" s="201">
        <v>74.820936639118457</v>
      </c>
      <c r="S86" s="200">
        <v>8.5950413223140494</v>
      </c>
      <c r="T86" s="200">
        <v>16.584022038567493</v>
      </c>
      <c r="U86" s="202">
        <v>85.910582444626755</v>
      </c>
      <c r="V86" s="200">
        <v>5.9474979491386382</v>
      </c>
      <c r="W86" s="200">
        <v>8.1419196062346177</v>
      </c>
      <c r="X86" s="201">
        <v>64.609053497942384</v>
      </c>
      <c r="Y86" s="200">
        <v>0</v>
      </c>
      <c r="Z86" s="203">
        <v>35.390946502057616</v>
      </c>
      <c r="AA86" s="200">
        <v>79.690291840381178</v>
      </c>
      <c r="AB86" s="204">
        <v>20.309708159618818</v>
      </c>
      <c r="AC86" s="200">
        <v>0</v>
      </c>
      <c r="AD86" s="201">
        <v>56.310679611650485</v>
      </c>
      <c r="AE86" s="200">
        <v>14.757281553398057</v>
      </c>
      <c r="AF86" s="205">
        <v>28.932038834951456</v>
      </c>
    </row>
    <row r="87" spans="1:32" x14ac:dyDescent="0.25">
      <c r="A87" s="199" t="s">
        <v>383</v>
      </c>
      <c r="B87" s="200">
        <v>77.53916815514161</v>
      </c>
      <c r="C87" s="200">
        <v>14.954325082929318</v>
      </c>
      <c r="D87" s="200">
        <v>7.5065067619290629</v>
      </c>
      <c r="E87" s="201">
        <v>53.222700972547088</v>
      </c>
      <c r="F87" s="200">
        <v>21.241413270959004</v>
      </c>
      <c r="G87" s="200">
        <v>25.535885756493904</v>
      </c>
      <c r="H87" s="202">
        <v>76.101433041059906</v>
      </c>
      <c r="I87" s="200">
        <v>14.573757194175133</v>
      </c>
      <c r="J87" s="200">
        <v>9.3248097647649573</v>
      </c>
      <c r="K87" s="201">
        <v>50.634248244646898</v>
      </c>
      <c r="L87" s="200">
        <v>24.543608193582081</v>
      </c>
      <c r="M87" s="203">
        <v>24.822143561771021</v>
      </c>
      <c r="N87" s="434"/>
      <c r="O87" s="202">
        <v>76.885238444893531</v>
      </c>
      <c r="P87" s="200">
        <v>15.275548595452685</v>
      </c>
      <c r="Q87" s="200">
        <v>7.8392129596537856</v>
      </c>
      <c r="R87" s="201">
        <v>54.538409019615074</v>
      </c>
      <c r="S87" s="200">
        <v>23.200413337515915</v>
      </c>
      <c r="T87" s="200">
        <v>22.261177642869004</v>
      </c>
      <c r="U87" s="202">
        <v>75.275497652935712</v>
      </c>
      <c r="V87" s="200">
        <v>13.168662298867886</v>
      </c>
      <c r="W87" s="200">
        <v>11.5558400481964</v>
      </c>
      <c r="X87" s="201">
        <v>41.751556310130169</v>
      </c>
      <c r="Y87" s="200">
        <v>32.489152990001884</v>
      </c>
      <c r="Z87" s="203">
        <v>25.759290699867947</v>
      </c>
      <c r="AA87" s="200">
        <v>73.942577307373327</v>
      </c>
      <c r="AB87" s="204">
        <v>14.726906520279609</v>
      </c>
      <c r="AC87" s="200">
        <v>11.330516172347064</v>
      </c>
      <c r="AD87" s="201">
        <v>48.47696879643388</v>
      </c>
      <c r="AE87" s="200">
        <v>15.657503714710252</v>
      </c>
      <c r="AF87" s="205">
        <v>35.865527488855868</v>
      </c>
    </row>
    <row r="88" spans="1:32" x14ac:dyDescent="0.25">
      <c r="A88" s="199" t="s">
        <v>384</v>
      </c>
      <c r="B88" s="200">
        <v>79.781329965770496</v>
      </c>
      <c r="C88" s="200">
        <v>15.293609384865906</v>
      </c>
      <c r="D88" s="200">
        <v>4.9250606493635969</v>
      </c>
      <c r="E88" s="201">
        <v>61.799269308635651</v>
      </c>
      <c r="F88" s="200">
        <v>20.159169711214016</v>
      </c>
      <c r="G88" s="200">
        <v>18.041560980150326</v>
      </c>
      <c r="H88" s="202">
        <v>78.248371023380599</v>
      </c>
      <c r="I88" s="200">
        <v>12.745943528810527</v>
      </c>
      <c r="J88" s="200">
        <v>9.005685447808867</v>
      </c>
      <c r="K88" s="201">
        <v>50.790351692829404</v>
      </c>
      <c r="L88" s="200">
        <v>27.654104906197013</v>
      </c>
      <c r="M88" s="203">
        <v>21.55554340097358</v>
      </c>
      <c r="N88" s="434"/>
      <c r="O88" s="202">
        <v>78.395610458878707</v>
      </c>
      <c r="P88" s="200">
        <v>13.395457192778101</v>
      </c>
      <c r="Q88" s="200">
        <v>8.2089323483431933</v>
      </c>
      <c r="R88" s="201">
        <v>49.439763745331369</v>
      </c>
      <c r="S88" s="200">
        <v>28.689307739077563</v>
      </c>
      <c r="T88" s="200">
        <v>21.870928515591071</v>
      </c>
      <c r="U88" s="202">
        <v>79.927173418297684</v>
      </c>
      <c r="V88" s="200">
        <v>10.30496131087847</v>
      </c>
      <c r="W88" s="200">
        <v>9.7678652708238509</v>
      </c>
      <c r="X88" s="201">
        <v>50.724951309240431</v>
      </c>
      <c r="Y88" s="200">
        <v>30.967323090240207</v>
      </c>
      <c r="Z88" s="203">
        <v>18.307725600519369</v>
      </c>
      <c r="AA88" s="200">
        <v>73.074046372475692</v>
      </c>
      <c r="AB88" s="204">
        <v>16.778858140114686</v>
      </c>
      <c r="AC88" s="200">
        <v>10.147095487409624</v>
      </c>
      <c r="AD88" s="201">
        <v>58.186046511627907</v>
      </c>
      <c r="AE88" s="200">
        <v>14.976744186046512</v>
      </c>
      <c r="AF88" s="205">
        <v>26.837209302325583</v>
      </c>
    </row>
    <row r="89" spans="1:32" x14ac:dyDescent="0.25">
      <c r="A89" s="199" t="s">
        <v>385</v>
      </c>
      <c r="B89" s="200">
        <v>72.389240506329116</v>
      </c>
      <c r="C89" s="200">
        <v>17.088607594936708</v>
      </c>
      <c r="D89" s="200">
        <v>10.522151898734178</v>
      </c>
      <c r="E89" s="201">
        <v>31.880597014925371</v>
      </c>
      <c r="F89" s="200">
        <v>16.119402985074625</v>
      </c>
      <c r="G89" s="200">
        <v>52</v>
      </c>
      <c r="H89" s="202">
        <v>72.822551499819298</v>
      </c>
      <c r="I89" s="200">
        <v>16.783520057824358</v>
      </c>
      <c r="J89" s="200">
        <v>10.393928442356343</v>
      </c>
      <c r="K89" s="201">
        <v>45.079212674027843</v>
      </c>
      <c r="L89" s="200">
        <v>23.523763802208354</v>
      </c>
      <c r="M89" s="203">
        <v>31.397023523763799</v>
      </c>
      <c r="N89" s="434"/>
      <c r="O89" s="202">
        <v>69.583687340696684</v>
      </c>
      <c r="P89" s="200">
        <v>16.086094590767487</v>
      </c>
      <c r="Q89" s="200">
        <v>14.330218068535824</v>
      </c>
      <c r="R89" s="201">
        <v>44.880485194434534</v>
      </c>
      <c r="S89" s="200">
        <v>20.085622547270781</v>
      </c>
      <c r="T89" s="200">
        <v>35.033892258294685</v>
      </c>
      <c r="U89" s="202">
        <v>76.699426699426695</v>
      </c>
      <c r="V89" s="200">
        <v>16.994266994266994</v>
      </c>
      <c r="W89" s="200">
        <v>6.3063063063063058</v>
      </c>
      <c r="X89" s="201">
        <v>48.17374136229023</v>
      </c>
      <c r="Y89" s="200">
        <v>26.258637709772952</v>
      </c>
      <c r="Z89" s="203">
        <v>25.567620927936822</v>
      </c>
      <c r="AA89" s="200">
        <v>74.867724867724874</v>
      </c>
      <c r="AB89" s="204">
        <v>18.888888888888889</v>
      </c>
      <c r="AC89" s="200">
        <v>6.2433862433862428</v>
      </c>
      <c r="AD89" s="201">
        <v>37.714285714285715</v>
      </c>
      <c r="AE89" s="200">
        <v>43.142857142857146</v>
      </c>
      <c r="AF89" s="205">
        <v>19.142857142857142</v>
      </c>
    </row>
    <row r="90" spans="1:32" x14ac:dyDescent="0.25">
      <c r="A90" s="199" t="s">
        <v>386</v>
      </c>
      <c r="B90" s="200">
        <v>67.170151045313602</v>
      </c>
      <c r="C90" s="200">
        <v>16.750025007502252</v>
      </c>
      <c r="D90" s="200">
        <v>16.079823947184156</v>
      </c>
      <c r="E90" s="201">
        <v>53.982703686845703</v>
      </c>
      <c r="F90" s="200">
        <v>21.457290244272492</v>
      </c>
      <c r="G90" s="200">
        <v>24.560006068881808</v>
      </c>
      <c r="H90" s="202">
        <v>72.459527989077429</v>
      </c>
      <c r="I90" s="200">
        <v>16.049834211039592</v>
      </c>
      <c r="J90" s="200">
        <v>11.490637799882974</v>
      </c>
      <c r="K90" s="201">
        <v>50.051802735184417</v>
      </c>
      <c r="L90" s="200">
        <v>21.570658930791545</v>
      </c>
      <c r="M90" s="203">
        <v>28.377538334024038</v>
      </c>
      <c r="N90" s="434"/>
      <c r="O90" s="202">
        <v>72.461739455020535</v>
      </c>
      <c r="P90" s="200">
        <v>17.861142217245241</v>
      </c>
      <c r="Q90" s="200">
        <v>9.6771183277342292</v>
      </c>
      <c r="R90" s="201">
        <v>53.100183262064746</v>
      </c>
      <c r="S90" s="200">
        <v>19.868662186927306</v>
      </c>
      <c r="T90" s="200">
        <v>27.031154551007941</v>
      </c>
      <c r="U90" s="202">
        <v>73.179464228629882</v>
      </c>
      <c r="V90" s="200">
        <v>13.471005690173262</v>
      </c>
      <c r="W90" s="200">
        <v>13.349530081196853</v>
      </c>
      <c r="X90" s="201">
        <v>39.268929503916453</v>
      </c>
      <c r="Y90" s="200">
        <v>28.772845953002612</v>
      </c>
      <c r="Z90" s="203">
        <v>31.958224543080938</v>
      </c>
      <c r="AA90" s="200">
        <v>69.574036511156194</v>
      </c>
      <c r="AB90" s="204">
        <v>16.430020283975661</v>
      </c>
      <c r="AC90" s="200">
        <v>13.995943204868155</v>
      </c>
      <c r="AD90" s="201">
        <v>50.589225589225585</v>
      </c>
      <c r="AE90" s="200">
        <v>19.36026936026936</v>
      </c>
      <c r="AF90" s="205">
        <v>30.050505050505048</v>
      </c>
    </row>
    <row r="91" spans="1:32" x14ac:dyDescent="0.25">
      <c r="A91" s="199" t="s">
        <v>387</v>
      </c>
      <c r="B91" s="200">
        <v>69.593530091376948</v>
      </c>
      <c r="C91" s="200">
        <v>20.565066694674929</v>
      </c>
      <c r="D91" s="200">
        <v>9.841403213948114</v>
      </c>
      <c r="E91" s="201">
        <v>45.374315276932442</v>
      </c>
      <c r="F91" s="200">
        <v>25.882531953743154</v>
      </c>
      <c r="G91" s="200">
        <v>28.743152769324411</v>
      </c>
      <c r="H91" s="202">
        <v>77.961011303445645</v>
      </c>
      <c r="I91" s="200">
        <v>11.407197073117457</v>
      </c>
      <c r="J91" s="200">
        <v>10.631791623436902</v>
      </c>
      <c r="K91" s="201">
        <v>61.585686721627788</v>
      </c>
      <c r="L91" s="200">
        <v>13.857218031924223</v>
      </c>
      <c r="M91" s="203">
        <v>24.557095246447989</v>
      </c>
      <c r="N91" s="434"/>
      <c r="O91" s="202">
        <v>76.215407629020191</v>
      </c>
      <c r="P91" s="200">
        <v>13.014210919970083</v>
      </c>
      <c r="Q91" s="200">
        <v>10.770381451009724</v>
      </c>
      <c r="R91" s="201">
        <v>65.204678362573105</v>
      </c>
      <c r="S91" s="200">
        <v>9.0935672514619892</v>
      </c>
      <c r="T91" s="200">
        <v>25.701754385964914</v>
      </c>
      <c r="U91" s="202">
        <v>79.309849029475203</v>
      </c>
      <c r="V91" s="200">
        <v>9.1732566498921635</v>
      </c>
      <c r="W91" s="200">
        <v>11.516894320632638</v>
      </c>
      <c r="X91" s="201">
        <v>53.076402974983097</v>
      </c>
      <c r="Y91" s="200">
        <v>26.91007437457742</v>
      </c>
      <c r="Z91" s="203">
        <v>20.013522650439487</v>
      </c>
      <c r="AA91" s="200">
        <v>81.399999999999991</v>
      </c>
      <c r="AB91" s="204">
        <v>11.700000000000001</v>
      </c>
      <c r="AC91" s="200">
        <v>6.9</v>
      </c>
      <c r="AD91" s="201">
        <v>61.892901618929017</v>
      </c>
      <c r="AE91" s="200">
        <v>10.08717310087173</v>
      </c>
      <c r="AF91" s="205">
        <v>28.019925280199253</v>
      </c>
    </row>
    <row r="92" spans="1:32" x14ac:dyDescent="0.25">
      <c r="A92" s="199" t="s">
        <v>388</v>
      </c>
      <c r="B92" s="200">
        <v>76.157147292490464</v>
      </c>
      <c r="C92" s="200">
        <v>14.959346774612973</v>
      </c>
      <c r="D92" s="200">
        <v>8.8835059328965684</v>
      </c>
      <c r="E92" s="201">
        <v>55.935475214570452</v>
      </c>
      <c r="F92" s="200">
        <v>22.745260983164751</v>
      </c>
      <c r="G92" s="200">
        <v>21.3192638022648</v>
      </c>
      <c r="H92" s="202">
        <v>76.253976211210144</v>
      </c>
      <c r="I92" s="200">
        <v>13.249601409859196</v>
      </c>
      <c r="J92" s="200">
        <v>10.496422378930667</v>
      </c>
      <c r="K92" s="201">
        <v>49.158591561368851</v>
      </c>
      <c r="L92" s="200">
        <v>24.524552606047855</v>
      </c>
      <c r="M92" s="203">
        <v>26.31685583258329</v>
      </c>
      <c r="N92" s="434"/>
      <c r="O92" s="202">
        <v>77.78655465697031</v>
      </c>
      <c r="P92" s="200">
        <v>13.034501494159196</v>
      </c>
      <c r="Q92" s="200">
        <v>9.1789438488704995</v>
      </c>
      <c r="R92" s="201">
        <v>53.164330725458207</v>
      </c>
      <c r="S92" s="200">
        <v>23.974194143523455</v>
      </c>
      <c r="T92" s="200">
        <v>22.861475131018338</v>
      </c>
      <c r="U92" s="202">
        <v>74.799185941503595</v>
      </c>
      <c r="V92" s="200">
        <v>13.13771156230961</v>
      </c>
      <c r="W92" s="200">
        <v>12.063102496186803</v>
      </c>
      <c r="X92" s="201">
        <v>42.165218406524673</v>
      </c>
      <c r="Y92" s="200">
        <v>27.204496555865038</v>
      </c>
      <c r="Z92" s="203">
        <v>30.630285037610289</v>
      </c>
      <c r="AA92" s="200">
        <v>70.057485628592858</v>
      </c>
      <c r="AB92" s="204">
        <v>15.261809547613097</v>
      </c>
      <c r="AC92" s="200">
        <v>14.680704823794052</v>
      </c>
      <c r="AD92" s="201">
        <v>37.308039747064136</v>
      </c>
      <c r="AE92" s="200">
        <v>21.718931475029034</v>
      </c>
      <c r="AF92" s="205">
        <v>40.973028777906826</v>
      </c>
    </row>
    <row r="93" spans="1:32" x14ac:dyDescent="0.25">
      <c r="A93" s="199" t="s">
        <v>389</v>
      </c>
      <c r="B93" s="200">
        <v>74.093302677445678</v>
      </c>
      <c r="C93" s="200">
        <v>17.080768374990729</v>
      </c>
      <c r="D93" s="200">
        <v>8.8259289475635985</v>
      </c>
      <c r="E93" s="201">
        <v>46.506400859962866</v>
      </c>
      <c r="F93" s="200">
        <v>31.437506107690805</v>
      </c>
      <c r="G93" s="200">
        <v>22.056093032346329</v>
      </c>
      <c r="H93" s="202">
        <v>75.562768296513454</v>
      </c>
      <c r="I93" s="200">
        <v>12.192440582137996</v>
      </c>
      <c r="J93" s="200">
        <v>12.24479112134855</v>
      </c>
      <c r="K93" s="201">
        <v>56.992084432717682</v>
      </c>
      <c r="L93" s="200">
        <v>16.327797609809096</v>
      </c>
      <c r="M93" s="203">
        <v>26.680117957473225</v>
      </c>
      <c r="N93" s="434"/>
      <c r="O93" s="202">
        <v>70.413573700954402</v>
      </c>
      <c r="P93" s="200">
        <v>15.135447797165719</v>
      </c>
      <c r="Q93" s="200">
        <v>14.450978501879879</v>
      </c>
      <c r="R93" s="201">
        <v>61.420682730923694</v>
      </c>
      <c r="S93" s="200">
        <v>15.235943775100402</v>
      </c>
      <c r="T93" s="200">
        <v>23.343373493975903</v>
      </c>
      <c r="U93" s="202">
        <v>83.449814126394045</v>
      </c>
      <c r="V93" s="200">
        <v>8.3420074349442377</v>
      </c>
      <c r="W93" s="200">
        <v>8.2081784386617098</v>
      </c>
      <c r="X93" s="201">
        <v>50.988553590010412</v>
      </c>
      <c r="Y93" s="200">
        <v>16.75338189386056</v>
      </c>
      <c r="Z93" s="203">
        <v>32.258064516129032</v>
      </c>
      <c r="AA93" s="200">
        <v>75.786320519221178</v>
      </c>
      <c r="AB93" s="204">
        <v>9.8352471293060404</v>
      </c>
      <c r="AC93" s="200">
        <v>14.378432351472792</v>
      </c>
      <c r="AD93" s="201">
        <v>45.724907063197023</v>
      </c>
      <c r="AE93" s="200">
        <v>22.862453531598511</v>
      </c>
      <c r="AF93" s="205">
        <v>31.412639405204462</v>
      </c>
    </row>
    <row r="94" spans="1:32" x14ac:dyDescent="0.25">
      <c r="A94" s="199" t="s">
        <v>390</v>
      </c>
      <c r="B94" s="200">
        <v>82.38328263457214</v>
      </c>
      <c r="C94" s="200">
        <v>7.8957809813516731</v>
      </c>
      <c r="D94" s="200">
        <v>9.7209363840761807</v>
      </c>
      <c r="E94" s="201">
        <v>71.320824135393664</v>
      </c>
      <c r="F94" s="200">
        <v>13.668138337012509</v>
      </c>
      <c r="G94" s="200">
        <v>15.011037527593817</v>
      </c>
      <c r="H94" s="202">
        <v>82.065041701687463</v>
      </c>
      <c r="I94" s="200">
        <v>9.4653132475593207</v>
      </c>
      <c r="J94" s="200">
        <v>8.4696450507532166</v>
      </c>
      <c r="K94" s="201">
        <v>50.720376359894146</v>
      </c>
      <c r="L94" s="200">
        <v>34.19582475742429</v>
      </c>
      <c r="M94" s="203">
        <v>15.083798882681565</v>
      </c>
      <c r="N94" s="434"/>
      <c r="O94" s="202">
        <v>79.866342648845688</v>
      </c>
      <c r="P94" s="200">
        <v>10.218712029161605</v>
      </c>
      <c r="Q94" s="200">
        <v>9.9149453219927111</v>
      </c>
      <c r="R94" s="201">
        <v>65.680473372781066</v>
      </c>
      <c r="S94" s="200">
        <v>26.804733727810653</v>
      </c>
      <c r="T94" s="200">
        <v>7.5147928994082847</v>
      </c>
      <c r="U94" s="202">
        <v>88.93458676067371</v>
      </c>
      <c r="V94" s="200">
        <v>6.8546807677242461</v>
      </c>
      <c r="W94" s="200">
        <v>4.2107324716020367</v>
      </c>
      <c r="X94" s="201">
        <v>37.267080745341616</v>
      </c>
      <c r="Y94" s="200">
        <v>43.354037267080749</v>
      </c>
      <c r="Z94" s="203">
        <v>19.378881987577639</v>
      </c>
      <c r="AA94" s="200">
        <v>74.096668230877526</v>
      </c>
      <c r="AB94" s="204">
        <v>12.810886907555139</v>
      </c>
      <c r="AC94" s="200">
        <v>13.092444861567341</v>
      </c>
      <c r="AD94" s="201">
        <v>34.768211920529801</v>
      </c>
      <c r="AE94" s="200">
        <v>39.845474613686534</v>
      </c>
      <c r="AF94" s="205">
        <v>25.386313465783665</v>
      </c>
    </row>
    <row r="95" spans="1:32" x14ac:dyDescent="0.25">
      <c r="A95" s="199" t="s">
        <v>391</v>
      </c>
      <c r="B95" s="200">
        <v>79.428848015488867</v>
      </c>
      <c r="C95" s="200">
        <v>12.218227077859217</v>
      </c>
      <c r="D95" s="200">
        <v>8.3529249066519142</v>
      </c>
      <c r="E95" s="201">
        <v>52.168746286393343</v>
      </c>
      <c r="F95" s="200">
        <v>19.883325230918814</v>
      </c>
      <c r="G95" s="200">
        <v>27.947928482687839</v>
      </c>
      <c r="H95" s="202">
        <v>79.554728923187966</v>
      </c>
      <c r="I95" s="200">
        <v>12.98059573050551</v>
      </c>
      <c r="J95" s="200">
        <v>7.4646753463065263</v>
      </c>
      <c r="K95" s="201">
        <v>49.376391982182625</v>
      </c>
      <c r="L95" s="200">
        <v>24.543429844097993</v>
      </c>
      <c r="M95" s="203">
        <v>26.080178173719375</v>
      </c>
      <c r="N95" s="434"/>
      <c r="O95" s="202">
        <v>80.366911642813719</v>
      </c>
      <c r="P95" s="200">
        <v>11.283638172072719</v>
      </c>
      <c r="Q95" s="200">
        <v>8.3494501851135556</v>
      </c>
      <c r="R95" s="201">
        <v>53.410610789121712</v>
      </c>
      <c r="S95" s="200">
        <v>18.47971466785555</v>
      </c>
      <c r="T95" s="200">
        <v>28.109674543022738</v>
      </c>
      <c r="U95" s="202">
        <v>78.776205644862586</v>
      </c>
      <c r="V95" s="200">
        <v>15.10482257945033</v>
      </c>
      <c r="W95" s="200">
        <v>6.1189717756870881</v>
      </c>
      <c r="X95" s="201">
        <v>56.96643445218492</v>
      </c>
      <c r="Y95" s="200">
        <v>30.842305256491446</v>
      </c>
      <c r="Z95" s="203">
        <v>12.191260291323623</v>
      </c>
      <c r="AA95" s="200">
        <v>78.608538513666133</v>
      </c>
      <c r="AB95" s="204">
        <v>13.440252992997515</v>
      </c>
      <c r="AC95" s="200">
        <v>7.9512084933363454</v>
      </c>
      <c r="AD95" s="201">
        <v>17.889221556886227</v>
      </c>
      <c r="AE95" s="200">
        <v>30.014970059880241</v>
      </c>
      <c r="AF95" s="205">
        <v>52.095808383233532</v>
      </c>
    </row>
    <row r="96" spans="1:32" x14ac:dyDescent="0.25">
      <c r="A96" s="199" t="s">
        <v>392</v>
      </c>
      <c r="B96" s="200">
        <v>83.142624125744504</v>
      </c>
      <c r="C96" s="200">
        <v>10.854360774040481</v>
      </c>
      <c r="D96" s="200">
        <v>6.0030151002150109</v>
      </c>
      <c r="E96" s="201">
        <v>56.05998636673484</v>
      </c>
      <c r="F96" s="200">
        <v>14.843217450579413</v>
      </c>
      <c r="G96" s="200">
        <v>29.096796182685754</v>
      </c>
      <c r="H96" s="202">
        <v>81.05638705186216</v>
      </c>
      <c r="I96" s="200">
        <v>12.015605058591484</v>
      </c>
      <c r="J96" s="200">
        <v>6.9280078895463522</v>
      </c>
      <c r="K96" s="201">
        <v>53.519780088442694</v>
      </c>
      <c r="L96" s="200">
        <v>26.180231863272379</v>
      </c>
      <c r="M96" s="203">
        <v>20.299988048284927</v>
      </c>
      <c r="N96" s="434"/>
      <c r="O96" s="202">
        <v>82.117738994529816</v>
      </c>
      <c r="P96" s="200">
        <v>9.8697577494139104</v>
      </c>
      <c r="Q96" s="200">
        <v>8.0125032560562648</v>
      </c>
      <c r="R96" s="201">
        <v>54.864414843006656</v>
      </c>
      <c r="S96" s="200">
        <v>19.100856327307326</v>
      </c>
      <c r="T96" s="200">
        <v>26.034728829686017</v>
      </c>
      <c r="U96" s="202">
        <v>80.985553321800936</v>
      </c>
      <c r="V96" s="200">
        <v>14.685118518864837</v>
      </c>
      <c r="W96" s="200">
        <v>4.3293281593342368</v>
      </c>
      <c r="X96" s="201">
        <v>64.612139676587759</v>
      </c>
      <c r="Y96" s="200">
        <v>30.958518865713614</v>
      </c>
      <c r="Z96" s="203">
        <v>4.4293414576986168</v>
      </c>
      <c r="AA96" s="200">
        <v>76.779679494167667</v>
      </c>
      <c r="AB96" s="204">
        <v>14.760710781641775</v>
      </c>
      <c r="AC96" s="200">
        <v>8.4596097241905586</v>
      </c>
      <c r="AD96" s="201">
        <v>39.098300073909833</v>
      </c>
      <c r="AE96" s="200">
        <v>35.796994333579704</v>
      </c>
      <c r="AF96" s="205">
        <v>25.104705592510467</v>
      </c>
    </row>
    <row r="97" spans="1:32" x14ac:dyDescent="0.25">
      <c r="A97" s="199" t="s">
        <v>393</v>
      </c>
      <c r="B97" s="200">
        <v>77.973896090366551</v>
      </c>
      <c r="C97" s="200">
        <v>12.638221243284271</v>
      </c>
      <c r="D97" s="200">
        <v>9.3878826663491726</v>
      </c>
      <c r="E97" s="201">
        <v>56.197137491095141</v>
      </c>
      <c r="F97" s="200">
        <v>22.300369147075966</v>
      </c>
      <c r="G97" s="200">
        <v>21.502493361828897</v>
      </c>
      <c r="H97" s="202">
        <v>76.930683641104906</v>
      </c>
      <c r="I97" s="200">
        <v>13.632534665504437</v>
      </c>
      <c r="J97" s="200">
        <v>9.4367816933906639</v>
      </c>
      <c r="K97" s="201">
        <v>45.151377190985656</v>
      </c>
      <c r="L97" s="200">
        <v>25.736398816298657</v>
      </c>
      <c r="M97" s="203">
        <v>29.112223992715684</v>
      </c>
      <c r="N97" s="434"/>
      <c r="O97" s="202">
        <v>79.238486541248648</v>
      </c>
      <c r="P97" s="200">
        <v>12.334491831881692</v>
      </c>
      <c r="Q97" s="200">
        <v>8.4270216268696618</v>
      </c>
      <c r="R97" s="201">
        <v>51.046716615249011</v>
      </c>
      <c r="S97" s="200">
        <v>22.664169237549579</v>
      </c>
      <c r="T97" s="200">
        <v>26.28911414720141</v>
      </c>
      <c r="U97" s="202">
        <v>76.928301566413381</v>
      </c>
      <c r="V97" s="200">
        <v>13.552235004457275</v>
      </c>
      <c r="W97" s="200">
        <v>9.5194634291293454</v>
      </c>
      <c r="X97" s="201">
        <v>39.927310488058154</v>
      </c>
      <c r="Y97" s="200">
        <v>33.004499826929731</v>
      </c>
      <c r="Z97" s="203">
        <v>27.068189685012118</v>
      </c>
      <c r="AA97" s="200">
        <v>67.991928446771382</v>
      </c>
      <c r="AB97" s="204">
        <v>18.869982547993018</v>
      </c>
      <c r="AC97" s="200">
        <v>13.138089005235601</v>
      </c>
      <c r="AD97" s="201">
        <v>25.689856198989506</v>
      </c>
      <c r="AE97" s="200">
        <v>25.670423630003885</v>
      </c>
      <c r="AF97" s="205">
        <v>48.639720171006608</v>
      </c>
    </row>
    <row r="98" spans="1:32" x14ac:dyDescent="0.25">
      <c r="A98" s="199" t="s">
        <v>394</v>
      </c>
      <c r="B98" s="200">
        <v>79.415017819835327</v>
      </c>
      <c r="C98" s="200">
        <v>11.754946540494039</v>
      </c>
      <c r="D98" s="200">
        <v>8.8300356396706405</v>
      </c>
      <c r="E98" s="201">
        <v>59.463905554480355</v>
      </c>
      <c r="F98" s="200">
        <v>18.927811108960711</v>
      </c>
      <c r="G98" s="200">
        <v>21.60828333655893</v>
      </c>
      <c r="H98" s="202">
        <v>82.493023966973738</v>
      </c>
      <c r="I98" s="200">
        <v>10.687664844616032</v>
      </c>
      <c r="J98" s="200">
        <v>6.8193111884102295</v>
      </c>
      <c r="K98" s="201">
        <v>67.184161800313348</v>
      </c>
      <c r="L98" s="200">
        <v>10.254949437402079</v>
      </c>
      <c r="M98" s="203">
        <v>22.560888762284577</v>
      </c>
      <c r="N98" s="434"/>
      <c r="O98" s="202">
        <v>82.230034491907674</v>
      </c>
      <c r="P98" s="200">
        <v>11.899708145396657</v>
      </c>
      <c r="Q98" s="200">
        <v>5.8702573626956749</v>
      </c>
      <c r="R98" s="201">
        <v>58.294824399260627</v>
      </c>
      <c r="S98" s="200">
        <v>10.651571164510166</v>
      </c>
      <c r="T98" s="200">
        <v>31.053604436229204</v>
      </c>
      <c r="U98" s="202">
        <v>80.872208581784164</v>
      </c>
      <c r="V98" s="200">
        <v>10.814918741961884</v>
      </c>
      <c r="W98" s="200">
        <v>8.3128726762539458</v>
      </c>
      <c r="X98" s="201">
        <v>86.772486772486772</v>
      </c>
      <c r="Y98" s="200">
        <v>7.0707070707070701</v>
      </c>
      <c r="Z98" s="203">
        <v>6.1568061568061569</v>
      </c>
      <c r="AA98" s="200">
        <v>89.533965244865726</v>
      </c>
      <c r="AB98" s="204">
        <v>3.0410742496050553</v>
      </c>
      <c r="AC98" s="200">
        <v>7.4249605055292252</v>
      </c>
      <c r="AD98" s="201">
        <v>63.517915309446252</v>
      </c>
      <c r="AE98" s="200">
        <v>18.241042345276874</v>
      </c>
      <c r="AF98" s="205">
        <v>18.241042345276874</v>
      </c>
    </row>
    <row r="99" spans="1:32" x14ac:dyDescent="0.25">
      <c r="A99" s="199" t="s">
        <v>395</v>
      </c>
      <c r="B99" s="200">
        <v>86.246938220085283</v>
      </c>
      <c r="C99" s="200">
        <v>8.0468112129184437</v>
      </c>
      <c r="D99" s="200">
        <v>5.7062505669962809</v>
      </c>
      <c r="E99" s="201">
        <v>51.539796139666016</v>
      </c>
      <c r="F99" s="200">
        <v>11.190631099544568</v>
      </c>
      <c r="G99" s="200">
        <v>37.269572760789416</v>
      </c>
      <c r="H99" s="202">
        <v>86.224709427464489</v>
      </c>
      <c r="I99" s="200">
        <v>7.1937628545463248</v>
      </c>
      <c r="J99" s="200">
        <v>6.5815277179891902</v>
      </c>
      <c r="K99" s="201">
        <v>55.22762345679012</v>
      </c>
      <c r="L99" s="200">
        <v>14.621913580246915</v>
      </c>
      <c r="M99" s="203">
        <v>30.150462962962965</v>
      </c>
      <c r="N99" s="434"/>
      <c r="O99" s="202">
        <v>86.531698507746412</v>
      </c>
      <c r="P99" s="200">
        <v>5.1706111586351104</v>
      </c>
      <c r="Q99" s="200">
        <v>8.297690333618478</v>
      </c>
      <c r="R99" s="201">
        <v>51.490825688073393</v>
      </c>
      <c r="S99" s="200">
        <v>13.274082568807339</v>
      </c>
      <c r="T99" s="200">
        <v>35.23509174311927</v>
      </c>
      <c r="U99" s="202">
        <v>85.559662090813092</v>
      </c>
      <c r="V99" s="200">
        <v>8.8701161562829984</v>
      </c>
      <c r="W99" s="200">
        <v>5.5702217529039064</v>
      </c>
      <c r="X99" s="201">
        <v>84.461538461538467</v>
      </c>
      <c r="Y99" s="200">
        <v>15.538461538461537</v>
      </c>
      <c r="Z99" s="203">
        <v>0</v>
      </c>
      <c r="AA99" s="200">
        <v>86.868327402135222</v>
      </c>
      <c r="AB99" s="204">
        <v>10.249110320284698</v>
      </c>
      <c r="AC99" s="200">
        <v>2.882562277580071</v>
      </c>
      <c r="AD99" s="201">
        <v>49.521988527724666</v>
      </c>
      <c r="AE99" s="200">
        <v>18.546845124282981</v>
      </c>
      <c r="AF99" s="205">
        <v>31.931166347992352</v>
      </c>
    </row>
    <row r="100" spans="1:32" x14ac:dyDescent="0.25">
      <c r="A100" s="199" t="s">
        <v>396</v>
      </c>
      <c r="B100" s="200">
        <v>62.068257106905321</v>
      </c>
      <c r="C100" s="200">
        <v>21.149944788269433</v>
      </c>
      <c r="D100" s="200">
        <v>16.781798104825249</v>
      </c>
      <c r="E100" s="201">
        <v>44.098734702343911</v>
      </c>
      <c r="F100" s="200">
        <v>24.159925326695706</v>
      </c>
      <c r="G100" s="200">
        <v>31.741339970960382</v>
      </c>
      <c r="H100" s="202">
        <v>68.546983192686909</v>
      </c>
      <c r="I100" s="200">
        <v>16.627764463422821</v>
      </c>
      <c r="J100" s="200">
        <v>14.825252343890272</v>
      </c>
      <c r="K100" s="201">
        <v>38.893788140675156</v>
      </c>
      <c r="L100" s="200">
        <v>24.318318106458779</v>
      </c>
      <c r="M100" s="203">
        <v>36.787893752866061</v>
      </c>
      <c r="N100" s="434"/>
      <c r="O100" s="202">
        <v>64.77798536781269</v>
      </c>
      <c r="P100" s="200">
        <v>17.979431125700614</v>
      </c>
      <c r="Q100" s="200">
        <v>17.242583506486703</v>
      </c>
      <c r="R100" s="201">
        <v>48.938236436617892</v>
      </c>
      <c r="S100" s="200">
        <v>22.944451637964523</v>
      </c>
      <c r="T100" s="200">
        <v>28.117311925417582</v>
      </c>
      <c r="U100" s="202">
        <v>70.491176414354811</v>
      </c>
      <c r="V100" s="200">
        <v>15.855687054279869</v>
      </c>
      <c r="W100" s="200">
        <v>13.653136531365314</v>
      </c>
      <c r="X100" s="201">
        <v>35.301253538212698</v>
      </c>
      <c r="Y100" s="200">
        <v>31.392370939479715</v>
      </c>
      <c r="Z100" s="203">
        <v>33.30637552230759</v>
      </c>
      <c r="AA100" s="200">
        <v>74.709851551956817</v>
      </c>
      <c r="AB100" s="204">
        <v>14.628879892037785</v>
      </c>
      <c r="AC100" s="200">
        <v>10.6612685560054</v>
      </c>
      <c r="AD100" s="201">
        <v>15.463165572574763</v>
      </c>
      <c r="AE100" s="200">
        <v>18.61779722830051</v>
      </c>
      <c r="AF100" s="205">
        <v>65.91903719912473</v>
      </c>
    </row>
    <row r="101" spans="1:32" x14ac:dyDescent="0.25">
      <c r="A101" s="199" t="s">
        <v>397</v>
      </c>
      <c r="B101" s="200">
        <v>75.779940593267483</v>
      </c>
      <c r="C101" s="200">
        <v>16.797853504597295</v>
      </c>
      <c r="D101" s="200">
        <v>7.4222059021352242</v>
      </c>
      <c r="E101" s="201">
        <v>54.872933172260964</v>
      </c>
      <c r="F101" s="200">
        <v>23.47642093249042</v>
      </c>
      <c r="G101" s="200">
        <v>21.650645895248612</v>
      </c>
      <c r="H101" s="202">
        <v>73.051864800258073</v>
      </c>
      <c r="I101" s="200">
        <v>15.047436812952</v>
      </c>
      <c r="J101" s="200">
        <v>11.900698386789928</v>
      </c>
      <c r="K101" s="201">
        <v>48.291287247989231</v>
      </c>
      <c r="L101" s="200">
        <v>23.082237891081743</v>
      </c>
      <c r="M101" s="203">
        <v>28.626474860929029</v>
      </c>
      <c r="N101" s="434"/>
      <c r="O101" s="202">
        <v>73.702636649065226</v>
      </c>
      <c r="P101" s="200">
        <v>15.300324675324676</v>
      </c>
      <c r="Q101" s="200">
        <v>10.997038675610105</v>
      </c>
      <c r="R101" s="201">
        <v>50.050917861449818</v>
      </c>
      <c r="S101" s="200">
        <v>22.669167894948412</v>
      </c>
      <c r="T101" s="200">
        <v>27.279914243601766</v>
      </c>
      <c r="U101" s="202">
        <v>72.064788706005785</v>
      </c>
      <c r="V101" s="200">
        <v>14.964354970163097</v>
      </c>
      <c r="W101" s="200">
        <v>12.970856323831114</v>
      </c>
      <c r="X101" s="201">
        <v>49.245979841501885</v>
      </c>
      <c r="Y101" s="200">
        <v>24.698007232438254</v>
      </c>
      <c r="Z101" s="203">
        <v>26.056012926059857</v>
      </c>
      <c r="AA101" s="200">
        <v>71.774422343410151</v>
      </c>
      <c r="AB101" s="204">
        <v>13.539072597169246</v>
      </c>
      <c r="AC101" s="200">
        <v>14.686505059420609</v>
      </c>
      <c r="AD101" s="201">
        <v>35.564069122921424</v>
      </c>
      <c r="AE101" s="200">
        <v>22.171503097489403</v>
      </c>
      <c r="AF101" s="205">
        <v>42.264427779589177</v>
      </c>
    </row>
    <row r="102" spans="1:32" x14ac:dyDescent="0.25">
      <c r="A102" s="199" t="s">
        <v>398</v>
      </c>
      <c r="B102" s="200">
        <v>81.722783750724261</v>
      </c>
      <c r="C102" s="200">
        <v>11.383506083821542</v>
      </c>
      <c r="D102" s="200">
        <v>6.8937101654541948</v>
      </c>
      <c r="E102" s="201">
        <v>59.585067609825529</v>
      </c>
      <c r="F102" s="200">
        <v>20.188056675796329</v>
      </c>
      <c r="G102" s="200">
        <v>20.226875714378139</v>
      </c>
      <c r="H102" s="202">
        <v>79.023732908936722</v>
      </c>
      <c r="I102" s="200">
        <v>12.959585516304031</v>
      </c>
      <c r="J102" s="200">
        <v>8.016681574759243</v>
      </c>
      <c r="K102" s="201">
        <v>48.699393702327399</v>
      </c>
      <c r="L102" s="200">
        <v>21.367103461764131</v>
      </c>
      <c r="M102" s="203">
        <v>29.93350283590847</v>
      </c>
      <c r="N102" s="434"/>
      <c r="O102" s="202">
        <v>78.891166222586591</v>
      </c>
      <c r="P102" s="200">
        <v>13.125640500102481</v>
      </c>
      <c r="Q102" s="200">
        <v>7.9831932773109235</v>
      </c>
      <c r="R102" s="201">
        <v>49.383172046982345</v>
      </c>
      <c r="S102" s="200">
        <v>17.581443451281672</v>
      </c>
      <c r="T102" s="200">
        <v>33.035384501735983</v>
      </c>
      <c r="U102" s="202">
        <v>80.742555597436862</v>
      </c>
      <c r="V102" s="200">
        <v>12.103279306445533</v>
      </c>
      <c r="W102" s="200">
        <v>7.1541650961176027</v>
      </c>
      <c r="X102" s="201">
        <v>53.893919793014234</v>
      </c>
      <c r="Y102" s="200">
        <v>25.536869340232858</v>
      </c>
      <c r="Z102" s="203">
        <v>20.569210866752911</v>
      </c>
      <c r="AA102" s="200">
        <v>75.387903001022011</v>
      </c>
      <c r="AB102" s="204">
        <v>14.317569450896588</v>
      </c>
      <c r="AC102" s="200">
        <v>10.29452754808139</v>
      </c>
      <c r="AD102" s="201">
        <v>39.094785175467365</v>
      </c>
      <c r="AE102" s="200">
        <v>32.863233847163002</v>
      </c>
      <c r="AF102" s="205">
        <v>28.041980977369629</v>
      </c>
    </row>
    <row r="103" spans="1:32" x14ac:dyDescent="0.25">
      <c r="A103" s="199" t="s">
        <v>399</v>
      </c>
      <c r="B103" s="200">
        <v>74.597821814451564</v>
      </c>
      <c r="C103" s="200">
        <v>14.959446633495354</v>
      </c>
      <c r="D103" s="200">
        <v>10.442731552053074</v>
      </c>
      <c r="E103" s="201">
        <v>49.00160550679216</v>
      </c>
      <c r="F103" s="200">
        <v>19.565391554585627</v>
      </c>
      <c r="G103" s="200">
        <v>31.433002938622213</v>
      </c>
      <c r="H103" s="202">
        <v>71.619265722366961</v>
      </c>
      <c r="I103" s="200">
        <v>15.186386686824621</v>
      </c>
      <c r="J103" s="200">
        <v>13.19434759080842</v>
      </c>
      <c r="K103" s="201">
        <v>45.743044108097308</v>
      </c>
      <c r="L103" s="200">
        <v>22.989160297717167</v>
      </c>
      <c r="M103" s="203">
        <v>31.267795594185522</v>
      </c>
      <c r="N103" s="434"/>
      <c r="O103" s="202">
        <v>72.395492297618631</v>
      </c>
      <c r="P103" s="200">
        <v>14.275621679901928</v>
      </c>
      <c r="Q103" s="200">
        <v>13.328886022479432</v>
      </c>
      <c r="R103" s="201">
        <v>46.862057448229791</v>
      </c>
      <c r="S103" s="200">
        <v>22.641950567802272</v>
      </c>
      <c r="T103" s="200">
        <v>30.495991983967937</v>
      </c>
      <c r="U103" s="202">
        <v>71.035829173599552</v>
      </c>
      <c r="V103" s="200">
        <v>16.031946755407652</v>
      </c>
      <c r="W103" s="200">
        <v>12.93222407099279</v>
      </c>
      <c r="X103" s="201">
        <v>47.699423841597017</v>
      </c>
      <c r="Y103" s="200">
        <v>23.387162216992614</v>
      </c>
      <c r="Z103" s="203">
        <v>28.913413941410372</v>
      </c>
      <c r="AA103" s="200">
        <v>69.466337201812834</v>
      </c>
      <c r="AB103" s="204">
        <v>17.287536157206262</v>
      </c>
      <c r="AC103" s="200">
        <v>13.246126640980899</v>
      </c>
      <c r="AD103" s="201">
        <v>38.343449914892254</v>
      </c>
      <c r="AE103" s="200">
        <v>23.692070527025724</v>
      </c>
      <c r="AF103" s="205">
        <v>37.964479558082026</v>
      </c>
    </row>
    <row r="104" spans="1:32" x14ac:dyDescent="0.25">
      <c r="A104" s="199" t="s">
        <v>400</v>
      </c>
      <c r="B104" s="200">
        <v>87.94289518455507</v>
      </c>
      <c r="C104" s="200">
        <v>6.4205932391449076</v>
      </c>
      <c r="D104" s="200">
        <v>5.6365115763000215</v>
      </c>
      <c r="E104" s="201">
        <v>59.96649916247906</v>
      </c>
      <c r="F104" s="200">
        <v>21.11390284757119</v>
      </c>
      <c r="G104" s="200">
        <v>18.91959798994975</v>
      </c>
      <c r="H104" s="202">
        <v>78.877726047537365</v>
      </c>
      <c r="I104" s="200">
        <v>11.316670750633016</v>
      </c>
      <c r="J104" s="200">
        <v>9.8056032018296175</v>
      </c>
      <c r="K104" s="201">
        <v>54.252487039372291</v>
      </c>
      <c r="L104" s="200">
        <v>21.998038391481014</v>
      </c>
      <c r="M104" s="203">
        <v>23.749474569146699</v>
      </c>
      <c r="N104" s="434"/>
      <c r="O104" s="202">
        <v>77.396291640477685</v>
      </c>
      <c r="P104" s="200">
        <v>11.981458202388435</v>
      </c>
      <c r="Q104" s="200">
        <v>10.622250157133879</v>
      </c>
      <c r="R104" s="201">
        <v>49.236192714453587</v>
      </c>
      <c r="S104" s="200">
        <v>25.334900117508813</v>
      </c>
      <c r="T104" s="200">
        <v>25.4289071680376</v>
      </c>
      <c r="U104" s="202">
        <v>78.493275586961474</v>
      </c>
      <c r="V104" s="200">
        <v>10.952815135627992</v>
      </c>
      <c r="W104" s="200">
        <v>10.553909277410531</v>
      </c>
      <c r="X104" s="201">
        <v>63.644327639071399</v>
      </c>
      <c r="Y104" s="200">
        <v>15.637319316688567</v>
      </c>
      <c r="Z104" s="203">
        <v>20.718353044240033</v>
      </c>
      <c r="AA104" s="200">
        <v>86.327077747989279</v>
      </c>
      <c r="AB104" s="204">
        <v>9.5509383378016075</v>
      </c>
      <c r="AC104" s="200">
        <v>4.1219839142091157</v>
      </c>
      <c r="AD104" s="201">
        <v>54.166666666666664</v>
      </c>
      <c r="AE104" s="200">
        <v>22.5</v>
      </c>
      <c r="AF104" s="205">
        <v>23.333333333333332</v>
      </c>
    </row>
    <row r="105" spans="1:32" x14ac:dyDescent="0.25">
      <c r="A105" s="199" t="s">
        <v>401</v>
      </c>
      <c r="B105" s="200">
        <v>70.619084935800842</v>
      </c>
      <c r="C105" s="200">
        <v>16.848514075592259</v>
      </c>
      <c r="D105" s="200">
        <v>12.532400988606909</v>
      </c>
      <c r="E105" s="201">
        <v>53.249529673336745</v>
      </c>
      <c r="F105" s="200">
        <v>24.687874123482128</v>
      </c>
      <c r="G105" s="200">
        <v>22.062596203181116</v>
      </c>
      <c r="H105" s="202">
        <v>73.962084932916454</v>
      </c>
      <c r="I105" s="200">
        <v>17.869157398978906</v>
      </c>
      <c r="J105" s="200">
        <v>8.168757668104643</v>
      </c>
      <c r="K105" s="201">
        <v>53.941838964531854</v>
      </c>
      <c r="L105" s="200">
        <v>17.145738779626829</v>
      </c>
      <c r="M105" s="203">
        <v>28.912422255841321</v>
      </c>
      <c r="N105" s="434"/>
      <c r="O105" s="202">
        <v>71.248604688247482</v>
      </c>
      <c r="P105" s="200">
        <v>16.225482379205868</v>
      </c>
      <c r="Q105" s="200">
        <v>12.525912932546643</v>
      </c>
      <c r="R105" s="201">
        <v>57.563524103538356</v>
      </c>
      <c r="S105" s="200">
        <v>8.9764901448587029</v>
      </c>
      <c r="T105" s="200">
        <v>33.459985751602943</v>
      </c>
      <c r="U105" s="202">
        <v>75.105361168283835</v>
      </c>
      <c r="V105" s="200">
        <v>21.787709497206702</v>
      </c>
      <c r="W105" s="200">
        <v>3.106929334509458</v>
      </c>
      <c r="X105" s="201">
        <v>39.608574091332713</v>
      </c>
      <c r="Y105" s="200">
        <v>38.397017707362536</v>
      </c>
      <c r="Z105" s="203">
        <v>21.994408201304751</v>
      </c>
      <c r="AA105" s="200">
        <v>82.831086439333873</v>
      </c>
      <c r="AB105" s="204">
        <v>10.190325138778746</v>
      </c>
      <c r="AC105" s="200">
        <v>6.978588421887391</v>
      </c>
      <c r="AD105" s="201">
        <v>54.13533834586466</v>
      </c>
      <c r="AE105" s="200">
        <v>34.586466165413533</v>
      </c>
      <c r="AF105" s="205">
        <v>11.278195488721805</v>
      </c>
    </row>
    <row r="106" spans="1:32" x14ac:dyDescent="0.25">
      <c r="A106" s="199" t="s">
        <v>402</v>
      </c>
      <c r="B106" s="200">
        <v>84.567901234567898</v>
      </c>
      <c r="C106" s="200">
        <v>14.04090657822001</v>
      </c>
      <c r="D106" s="200">
        <v>1.3911921872120878</v>
      </c>
      <c r="E106" s="201">
        <v>45.352867044738495</v>
      </c>
      <c r="F106" s="200">
        <v>17.753623188405797</v>
      </c>
      <c r="G106" s="200">
        <v>36.893509766855701</v>
      </c>
      <c r="H106" s="202">
        <v>81.303331385154877</v>
      </c>
      <c r="I106" s="200">
        <v>11.578024547048511</v>
      </c>
      <c r="J106" s="200">
        <v>7.1186440677966107</v>
      </c>
      <c r="K106" s="201">
        <v>32.82996073693748</v>
      </c>
      <c r="L106" s="200">
        <v>30.564784053156146</v>
      </c>
      <c r="M106" s="203">
        <v>36.605255209906375</v>
      </c>
      <c r="N106" s="434"/>
      <c r="O106" s="202">
        <v>79.344432882414154</v>
      </c>
      <c r="P106" s="200">
        <v>13.163371488033299</v>
      </c>
      <c r="Q106" s="200">
        <v>7.4921956295525494</v>
      </c>
      <c r="R106" s="201">
        <v>36.160188457008246</v>
      </c>
      <c r="S106" s="200">
        <v>46.171967020023558</v>
      </c>
      <c r="T106" s="200">
        <v>17.667844522968199</v>
      </c>
      <c r="U106" s="202">
        <v>84.439060752888565</v>
      </c>
      <c r="V106" s="200">
        <v>9.4483786805814383</v>
      </c>
      <c r="W106" s="200">
        <v>6.1125605665300036</v>
      </c>
      <c r="X106" s="201">
        <v>46.691176470588239</v>
      </c>
      <c r="Y106" s="200">
        <v>25.367647058823529</v>
      </c>
      <c r="Z106" s="203">
        <v>27.941176470588236</v>
      </c>
      <c r="AA106" s="200">
        <v>82.270168855534706</v>
      </c>
      <c r="AB106" s="204">
        <v>9.7560975609756095</v>
      </c>
      <c r="AC106" s="200">
        <v>7.9737335834896808</v>
      </c>
      <c r="AD106" s="201">
        <v>11.446540880503145</v>
      </c>
      <c r="AE106" s="200">
        <v>2.6415094339622645</v>
      </c>
      <c r="AF106" s="205">
        <v>85.911949685534594</v>
      </c>
    </row>
    <row r="107" spans="1:32" x14ac:dyDescent="0.25">
      <c r="A107" s="199" t="s">
        <v>403</v>
      </c>
      <c r="B107" s="200">
        <v>72.471655328798192</v>
      </c>
      <c r="C107" s="200">
        <v>18.852258852258853</v>
      </c>
      <c r="D107" s="200">
        <v>8.6760858189429619</v>
      </c>
      <c r="E107" s="201">
        <v>45.994753833736887</v>
      </c>
      <c r="F107" s="200">
        <v>27.971146085552867</v>
      </c>
      <c r="G107" s="200">
        <v>26.03410008071025</v>
      </c>
      <c r="H107" s="202">
        <v>77.854859671923847</v>
      </c>
      <c r="I107" s="200">
        <v>12.350275738522603</v>
      </c>
      <c r="J107" s="200">
        <v>9.7948645895535495</v>
      </c>
      <c r="K107" s="201">
        <v>47.397279783522038</v>
      </c>
      <c r="L107" s="200">
        <v>22.245958840703555</v>
      </c>
      <c r="M107" s="203">
        <v>30.356761375774404</v>
      </c>
      <c r="N107" s="434"/>
      <c r="O107" s="202">
        <v>78.73230887192102</v>
      </c>
      <c r="P107" s="200">
        <v>11.644995367560142</v>
      </c>
      <c r="Q107" s="200">
        <v>9.6226957605188339</v>
      </c>
      <c r="R107" s="201">
        <v>55.251458738538481</v>
      </c>
      <c r="S107" s="200">
        <v>17.00472353431509</v>
      </c>
      <c r="T107" s="200">
        <v>27.743817727146432</v>
      </c>
      <c r="U107" s="202">
        <v>78.895086321381143</v>
      </c>
      <c r="V107" s="200">
        <v>10.661354581673308</v>
      </c>
      <c r="W107" s="200">
        <v>10.443559096945551</v>
      </c>
      <c r="X107" s="201">
        <v>38.957441450516242</v>
      </c>
      <c r="Y107" s="200">
        <v>30.773105011332159</v>
      </c>
      <c r="Z107" s="203">
        <v>30.269453538151598</v>
      </c>
      <c r="AA107" s="200">
        <v>70.948326482677629</v>
      </c>
      <c r="AB107" s="204">
        <v>20.258367586611861</v>
      </c>
      <c r="AC107" s="200">
        <v>8.7933059307105115</v>
      </c>
      <c r="AD107" s="201">
        <v>39.387613082811413</v>
      </c>
      <c r="AE107" s="200">
        <v>23.625608907446068</v>
      </c>
      <c r="AF107" s="205">
        <v>36.986778009742522</v>
      </c>
    </row>
    <row r="108" spans="1:32" x14ac:dyDescent="0.25">
      <c r="A108" s="199" t="s">
        <v>404</v>
      </c>
      <c r="B108" s="200">
        <v>77.918724970014836</v>
      </c>
      <c r="C108" s="200">
        <v>13.490272610843446</v>
      </c>
      <c r="D108" s="200">
        <v>8.5910024191417129</v>
      </c>
      <c r="E108" s="201">
        <v>50.028529042565332</v>
      </c>
      <c r="F108" s="200">
        <v>21.243540209647708</v>
      </c>
      <c r="G108" s="200">
        <v>28.72793074778696</v>
      </c>
      <c r="H108" s="202">
        <v>75.254985754985753</v>
      </c>
      <c r="I108" s="200">
        <v>14.119658119658119</v>
      </c>
      <c r="J108" s="200">
        <v>10.625356125356126</v>
      </c>
      <c r="K108" s="201">
        <v>48.882923807557297</v>
      </c>
      <c r="L108" s="200">
        <v>25.141441255420194</v>
      </c>
      <c r="M108" s="203">
        <v>25.975634937022505</v>
      </c>
      <c r="N108" s="434"/>
      <c r="O108" s="202">
        <v>78.916623714503103</v>
      </c>
      <c r="P108" s="200">
        <v>11.049750877451341</v>
      </c>
      <c r="Q108" s="200">
        <v>10.033625408045555</v>
      </c>
      <c r="R108" s="201">
        <v>52.244176504008585</v>
      </c>
      <c r="S108" s="200">
        <v>22.132441133766807</v>
      </c>
      <c r="T108" s="200">
        <v>25.623382362224607</v>
      </c>
      <c r="U108" s="202">
        <v>69.735308087568555</v>
      </c>
      <c r="V108" s="200">
        <v>20.601062222030311</v>
      </c>
      <c r="W108" s="200">
        <v>9.6636296904011409</v>
      </c>
      <c r="X108" s="201">
        <v>42.460773057787982</v>
      </c>
      <c r="Y108" s="200">
        <v>36.165327210103335</v>
      </c>
      <c r="Z108" s="203">
        <v>21.373899732108686</v>
      </c>
      <c r="AA108" s="200">
        <v>71.841269841269835</v>
      </c>
      <c r="AB108" s="204">
        <v>10.158730158730158</v>
      </c>
      <c r="AC108" s="200">
        <v>18</v>
      </c>
      <c r="AD108" s="201">
        <v>42.612011439466158</v>
      </c>
      <c r="AE108" s="200">
        <v>21.989196059739434</v>
      </c>
      <c r="AF108" s="205">
        <v>35.398792500794407</v>
      </c>
    </row>
    <row r="109" spans="1:32" x14ac:dyDescent="0.25">
      <c r="A109" s="199" t="s">
        <v>405</v>
      </c>
      <c r="B109" s="200">
        <v>54.929078014184398</v>
      </c>
      <c r="C109" s="200">
        <v>17.695035460992909</v>
      </c>
      <c r="D109" s="200">
        <v>27.375886524822697</v>
      </c>
      <c r="E109" s="201">
        <v>29.20865686436478</v>
      </c>
      <c r="F109" s="200">
        <v>41.500082603667607</v>
      </c>
      <c r="G109" s="200">
        <v>29.291260531967616</v>
      </c>
      <c r="H109" s="202">
        <v>65.102735963080988</v>
      </c>
      <c r="I109" s="200">
        <v>16.793026407354503</v>
      </c>
      <c r="J109" s="200">
        <v>18.104237629564519</v>
      </c>
      <c r="K109" s="201">
        <v>50.048043925875085</v>
      </c>
      <c r="L109" s="200">
        <v>16.925188743994511</v>
      </c>
      <c r="M109" s="203">
        <v>33.026767330130404</v>
      </c>
      <c r="N109" s="434"/>
      <c r="O109" s="202">
        <v>66.538549793483242</v>
      </c>
      <c r="P109" s="200">
        <v>13.83088572739789</v>
      </c>
      <c r="Q109" s="200">
        <v>19.63056447911886</v>
      </c>
      <c r="R109" s="201">
        <v>59.248982611912695</v>
      </c>
      <c r="S109" s="200">
        <v>16.167221605623379</v>
      </c>
      <c r="T109" s="200">
        <v>24.58379578246393</v>
      </c>
      <c r="U109" s="202">
        <v>66.465475615644621</v>
      </c>
      <c r="V109" s="200">
        <v>20.183486238532112</v>
      </c>
      <c r="W109" s="200">
        <v>13.351038145823274</v>
      </c>
      <c r="X109" s="201">
        <v>23.596673596673597</v>
      </c>
      <c r="Y109" s="200">
        <v>34.095634095634097</v>
      </c>
      <c r="Z109" s="203">
        <v>42.307692307692307</v>
      </c>
      <c r="AA109" s="200">
        <v>42.218021424070571</v>
      </c>
      <c r="AB109" s="204">
        <v>31.632010081915563</v>
      </c>
      <c r="AC109" s="200">
        <v>26.149968494013866</v>
      </c>
      <c r="AD109" s="201">
        <v>23.555070883315157</v>
      </c>
      <c r="AE109" s="200">
        <v>3.3805888767720829</v>
      </c>
      <c r="AF109" s="205">
        <v>73.064340239912767</v>
      </c>
    </row>
    <row r="110" spans="1:32" x14ac:dyDescent="0.25">
      <c r="A110" s="199" t="s">
        <v>406</v>
      </c>
      <c r="B110" s="200">
        <v>74.933962794357328</v>
      </c>
      <c r="C110" s="200">
        <v>17.473163603664364</v>
      </c>
      <c r="D110" s="200">
        <v>7.5928736019783063</v>
      </c>
      <c r="E110" s="201">
        <v>49.663196570728715</v>
      </c>
      <c r="F110" s="200">
        <v>20.317071511192761</v>
      </c>
      <c r="G110" s="200">
        <v>30.01973191807852</v>
      </c>
      <c r="H110" s="202">
        <v>78.937015466502103</v>
      </c>
      <c r="I110" s="200">
        <v>14.293979249431096</v>
      </c>
      <c r="J110" s="200">
        <v>6.7690052840668038</v>
      </c>
      <c r="K110" s="201">
        <v>47.809924034265393</v>
      </c>
      <c r="L110" s="200">
        <v>23.969613706158075</v>
      </c>
      <c r="M110" s="203">
        <v>28.220462259576536</v>
      </c>
      <c r="N110" s="434"/>
      <c r="O110" s="202">
        <v>82.21932114882506</v>
      </c>
      <c r="P110" s="200">
        <v>11.077023498694517</v>
      </c>
      <c r="Q110" s="200">
        <v>6.7036553524804168</v>
      </c>
      <c r="R110" s="201">
        <v>49.961389961389962</v>
      </c>
      <c r="S110" s="200">
        <v>14.555984555984555</v>
      </c>
      <c r="T110" s="200">
        <v>35.482625482625487</v>
      </c>
      <c r="U110" s="202">
        <v>72.584424534803588</v>
      </c>
      <c r="V110" s="200">
        <v>20.220537560303239</v>
      </c>
      <c r="W110" s="200">
        <v>7.1950379048931774</v>
      </c>
      <c r="X110" s="201">
        <v>52.133502323616391</v>
      </c>
      <c r="Y110" s="200">
        <v>33.755809040980147</v>
      </c>
      <c r="Z110" s="203">
        <v>14.110688635403465</v>
      </c>
      <c r="AA110" s="200">
        <v>77.661795407098126</v>
      </c>
      <c r="AB110" s="204">
        <v>16.194452728899492</v>
      </c>
      <c r="AC110" s="200">
        <v>6.143751864002386</v>
      </c>
      <c r="AD110" s="201">
        <v>34.959349593495936</v>
      </c>
      <c r="AE110" s="200">
        <v>24.959349593495936</v>
      </c>
      <c r="AF110" s="205">
        <v>40.081300813008127</v>
      </c>
    </row>
    <row r="111" spans="1:32" x14ac:dyDescent="0.25">
      <c r="A111" s="199" t="s">
        <v>407</v>
      </c>
      <c r="B111" s="200">
        <v>67.194286265804465</v>
      </c>
      <c r="C111" s="200">
        <v>15.606601679374577</v>
      </c>
      <c r="D111" s="200">
        <v>17.199112054820965</v>
      </c>
      <c r="E111" s="201">
        <v>45.80480954888538</v>
      </c>
      <c r="F111" s="200">
        <v>20.186062840091274</v>
      </c>
      <c r="G111" s="200">
        <v>34.009127611023345</v>
      </c>
      <c r="H111" s="202">
        <v>69.888140485927352</v>
      </c>
      <c r="I111" s="200">
        <v>20.15876834255473</v>
      </c>
      <c r="J111" s="200">
        <v>9.9530911715179222</v>
      </c>
      <c r="K111" s="201">
        <v>54.985652797704446</v>
      </c>
      <c r="L111" s="200">
        <v>20.863223338115734</v>
      </c>
      <c r="M111" s="203">
        <v>24.151123864179819</v>
      </c>
      <c r="N111" s="434"/>
      <c r="O111" s="202">
        <v>65.968032179527896</v>
      </c>
      <c r="P111" s="200">
        <v>20.842595532973434</v>
      </c>
      <c r="Q111" s="200">
        <v>13.189372287498676</v>
      </c>
      <c r="R111" s="201">
        <v>55.441400304414003</v>
      </c>
      <c r="S111" s="200">
        <v>23.611111111111111</v>
      </c>
      <c r="T111" s="200">
        <v>20.947488584474886</v>
      </c>
      <c r="U111" s="202">
        <v>75.76167907921463</v>
      </c>
      <c r="V111" s="200">
        <v>18.618821936357481</v>
      </c>
      <c r="W111" s="200">
        <v>5.6194989844278949</v>
      </c>
      <c r="X111" s="201">
        <v>46.627850557981567</v>
      </c>
      <c r="Y111" s="200">
        <v>13.58563803978651</v>
      </c>
      <c r="Z111" s="203">
        <v>39.78651140223193</v>
      </c>
      <c r="AA111" s="200">
        <v>71.720345640219946</v>
      </c>
      <c r="AB111" s="204">
        <v>22.23095051060487</v>
      </c>
      <c r="AC111" s="200">
        <v>6.0487038491751761</v>
      </c>
      <c r="AD111" s="201">
        <v>69.149952244508114</v>
      </c>
      <c r="AE111" s="200">
        <v>21.394460362941739</v>
      </c>
      <c r="AF111" s="205">
        <v>9.455587392550143</v>
      </c>
    </row>
    <row r="112" spans="1:32" x14ac:dyDescent="0.25">
      <c r="A112" s="199" t="s">
        <v>408</v>
      </c>
      <c r="B112" s="200">
        <v>83.07454459904551</v>
      </c>
      <c r="C112" s="200">
        <v>12.731061369899846</v>
      </c>
      <c r="D112" s="200">
        <v>4.1943940310546486</v>
      </c>
      <c r="E112" s="201">
        <v>63.28432554029083</v>
      </c>
      <c r="F112" s="200">
        <v>22.117779384590662</v>
      </c>
      <c r="G112" s="200">
        <v>14.597895075118503</v>
      </c>
      <c r="H112" s="202">
        <v>81.15467946811674</v>
      </c>
      <c r="I112" s="200">
        <v>9.409915459450275</v>
      </c>
      <c r="J112" s="200">
        <v>9.4354050724329834</v>
      </c>
      <c r="K112" s="201">
        <v>57.628804455937932</v>
      </c>
      <c r="L112" s="200">
        <v>23.274318679132683</v>
      </c>
      <c r="M112" s="203">
        <v>19.096876864929381</v>
      </c>
      <c r="N112" s="434"/>
      <c r="O112" s="202">
        <v>83.698409038505886</v>
      </c>
      <c r="P112" s="200">
        <v>7.2707708861732376</v>
      </c>
      <c r="Q112" s="200">
        <v>9.0308200753208823</v>
      </c>
      <c r="R112" s="201">
        <v>60.535117056856194</v>
      </c>
      <c r="S112" s="200">
        <v>22.408026755852841</v>
      </c>
      <c r="T112" s="200">
        <v>17.056856187290968</v>
      </c>
      <c r="U112" s="202">
        <v>73.818454613653415</v>
      </c>
      <c r="V112" s="200">
        <v>14.928732183045762</v>
      </c>
      <c r="W112" s="200">
        <v>11.252813203300825</v>
      </c>
      <c r="X112" s="201">
        <v>48.743335872048746</v>
      </c>
      <c r="Y112" s="200">
        <v>27.875095201827875</v>
      </c>
      <c r="Z112" s="203">
        <v>23.381568926123382</v>
      </c>
      <c r="AA112" s="200">
        <v>91.304347826086953</v>
      </c>
      <c r="AB112" s="204">
        <v>2.9644268774703555</v>
      </c>
      <c r="AC112" s="200">
        <v>5.7312252964426875</v>
      </c>
      <c r="AD112" s="201">
        <v>67.2</v>
      </c>
      <c r="AE112" s="200">
        <v>0</v>
      </c>
      <c r="AF112" s="205">
        <v>32.800000000000004</v>
      </c>
    </row>
    <row r="113" spans="1:32" x14ac:dyDescent="0.25">
      <c r="A113" s="199" t="s">
        <v>409</v>
      </c>
      <c r="B113" s="200">
        <v>86.688775510204081</v>
      </c>
      <c r="C113" s="200">
        <v>10.464285714285715</v>
      </c>
      <c r="D113" s="200">
        <v>2.8469387755102042</v>
      </c>
      <c r="E113" s="201">
        <v>62.698309492847862</v>
      </c>
      <c r="F113" s="200">
        <v>15.832249674902471</v>
      </c>
      <c r="G113" s="200">
        <v>21.469440832249674</v>
      </c>
      <c r="H113" s="202">
        <v>80.449397806938705</v>
      </c>
      <c r="I113" s="200">
        <v>10.746000359518245</v>
      </c>
      <c r="J113" s="200">
        <v>8.8046018335430514</v>
      </c>
      <c r="K113" s="201">
        <v>55.500434081607338</v>
      </c>
      <c r="L113" s="200">
        <v>27.285129604365622</v>
      </c>
      <c r="M113" s="203">
        <v>17.214436314027036</v>
      </c>
      <c r="N113" s="434"/>
      <c r="O113" s="202">
        <v>84.251715953556996</v>
      </c>
      <c r="P113" s="200">
        <v>6.3634614151003905</v>
      </c>
      <c r="Q113" s="200">
        <v>9.3848226313426135</v>
      </c>
      <c r="R113" s="201">
        <v>52.571926765475155</v>
      </c>
      <c r="S113" s="200">
        <v>30.623365300784656</v>
      </c>
      <c r="T113" s="200">
        <v>16.804707933740193</v>
      </c>
      <c r="U113" s="202">
        <v>81.259484066767826</v>
      </c>
      <c r="V113" s="200">
        <v>11.35558927668184</v>
      </c>
      <c r="W113" s="200">
        <v>7.3849266565503298</v>
      </c>
      <c r="X113" s="201">
        <v>61.182669789227162</v>
      </c>
      <c r="Y113" s="200">
        <v>28.864168618266977</v>
      </c>
      <c r="Z113" s="203">
        <v>9.9531615925058539</v>
      </c>
      <c r="AA113" s="200">
        <v>65.238536359425652</v>
      </c>
      <c r="AB113" s="204">
        <v>25.451597962019452</v>
      </c>
      <c r="AC113" s="200">
        <v>9.3098656785548872</v>
      </c>
      <c r="AD113" s="201">
        <v>57.611771363893602</v>
      </c>
      <c r="AE113" s="200">
        <v>17.091114883984154</v>
      </c>
      <c r="AF113" s="205">
        <v>25.29711375212224</v>
      </c>
    </row>
    <row r="114" spans="1:32" x14ac:dyDescent="0.25">
      <c r="A114" s="199" t="s">
        <v>410</v>
      </c>
      <c r="B114" s="200">
        <v>83.487284753107531</v>
      </c>
      <c r="C114" s="200">
        <v>9.0432204356254982</v>
      </c>
      <c r="D114" s="200">
        <v>7.4694948112669639</v>
      </c>
      <c r="E114" s="201">
        <v>64.566078501980556</v>
      </c>
      <c r="F114" s="200">
        <v>12.981634857760174</v>
      </c>
      <c r="G114" s="200">
        <v>22.452286640259274</v>
      </c>
      <c r="H114" s="202">
        <v>84.142541866805146</v>
      </c>
      <c r="I114" s="200">
        <v>10.216798649876671</v>
      </c>
      <c r="J114" s="200">
        <v>5.6406594833181876</v>
      </c>
      <c r="K114" s="201">
        <v>52.427668772863321</v>
      </c>
      <c r="L114" s="200">
        <v>18.905886265380779</v>
      </c>
      <c r="M114" s="203">
        <v>28.666444961755904</v>
      </c>
      <c r="N114" s="434"/>
      <c r="O114" s="202">
        <v>86.780152118797531</v>
      </c>
      <c r="P114" s="200">
        <v>9.2116382953036346</v>
      </c>
      <c r="Q114" s="200">
        <v>4.0082095858988289</v>
      </c>
      <c r="R114" s="201">
        <v>55.625170253336961</v>
      </c>
      <c r="S114" s="200">
        <v>9.3435031326614002</v>
      </c>
      <c r="T114" s="200">
        <v>35.031326614001635</v>
      </c>
      <c r="U114" s="202">
        <v>80.853967635016573</v>
      </c>
      <c r="V114" s="200">
        <v>11.698186781048937</v>
      </c>
      <c r="W114" s="200">
        <v>7.4478455839344901</v>
      </c>
      <c r="X114" s="201">
        <v>66.528925619834709</v>
      </c>
      <c r="Y114" s="200">
        <v>25.041322314049587</v>
      </c>
      <c r="Z114" s="203">
        <v>8.4297520661157019</v>
      </c>
      <c r="AA114" s="200">
        <v>81.695085255767296</v>
      </c>
      <c r="AB114" s="204">
        <v>10.531594784353059</v>
      </c>
      <c r="AC114" s="200">
        <v>7.7733199598796388</v>
      </c>
      <c r="AD114" s="201">
        <v>27.031802120141339</v>
      </c>
      <c r="AE114" s="200">
        <v>43.374558303886921</v>
      </c>
      <c r="AF114" s="205">
        <v>29.593639575971732</v>
      </c>
    </row>
    <row r="115" spans="1:32" x14ac:dyDescent="0.25">
      <c r="A115" s="199" t="s">
        <v>411</v>
      </c>
      <c r="B115" s="200">
        <v>77.401420776279224</v>
      </c>
      <c r="C115" s="200">
        <v>13.05172743451339</v>
      </c>
      <c r="D115" s="200">
        <v>9.5468517892073947</v>
      </c>
      <c r="E115" s="201">
        <v>50.433504577754405</v>
      </c>
      <c r="F115" s="200">
        <v>25.92532664536224</v>
      </c>
      <c r="G115" s="200">
        <v>23.641168776883351</v>
      </c>
      <c r="H115" s="202">
        <v>77.224700125579176</v>
      </c>
      <c r="I115" s="200">
        <v>12.072922530636991</v>
      </c>
      <c r="J115" s="200">
        <v>10.70237734378383</v>
      </c>
      <c r="K115" s="201">
        <v>52.593812923302217</v>
      </c>
      <c r="L115" s="200">
        <v>23.053267435475014</v>
      </c>
      <c r="M115" s="203">
        <v>24.352919641222773</v>
      </c>
      <c r="N115" s="434"/>
      <c r="O115" s="202">
        <v>75.007140816909455</v>
      </c>
      <c r="P115" s="200">
        <v>13.817004665333716</v>
      </c>
      <c r="Q115" s="200">
        <v>11.17585451775683</v>
      </c>
      <c r="R115" s="201">
        <v>49.248886059834504</v>
      </c>
      <c r="S115" s="200">
        <v>22.558879694462124</v>
      </c>
      <c r="T115" s="200">
        <v>28.192234245703375</v>
      </c>
      <c r="U115" s="202">
        <v>82.178009737644047</v>
      </c>
      <c r="V115" s="200">
        <v>8.7989071421065539</v>
      </c>
      <c r="W115" s="200">
        <v>9.023083120249396</v>
      </c>
      <c r="X115" s="201">
        <v>55.754151291512912</v>
      </c>
      <c r="Y115" s="200">
        <v>22.601476014760145</v>
      </c>
      <c r="Z115" s="203">
        <v>21.644372693726936</v>
      </c>
      <c r="AA115" s="200">
        <v>75.024321216945253</v>
      </c>
      <c r="AB115" s="204">
        <v>12.240205182630229</v>
      </c>
      <c r="AC115" s="200">
        <v>12.735473600424516</v>
      </c>
      <c r="AD115" s="201">
        <v>61.179277436946144</v>
      </c>
      <c r="AE115" s="200">
        <v>27.027948193592366</v>
      </c>
      <c r="AF115" s="205">
        <v>11.792774369461487</v>
      </c>
    </row>
    <row r="116" spans="1:32" x14ac:dyDescent="0.25">
      <c r="A116" s="199" t="s">
        <v>412</v>
      </c>
      <c r="B116" s="200">
        <v>77.911201193162256</v>
      </c>
      <c r="C116" s="200">
        <v>17.396458755592946</v>
      </c>
      <c r="D116" s="200">
        <v>4.6923400512447895</v>
      </c>
      <c r="E116" s="201">
        <v>47.751794600783896</v>
      </c>
      <c r="F116" s="200">
        <v>15.413749064165236</v>
      </c>
      <c r="G116" s="200">
        <v>36.834456335050866</v>
      </c>
      <c r="H116" s="202">
        <v>82.560341262759266</v>
      </c>
      <c r="I116" s="200">
        <v>10.536052408209459</v>
      </c>
      <c r="J116" s="200">
        <v>6.903606329031275</v>
      </c>
      <c r="K116" s="201">
        <v>56.266068956424284</v>
      </c>
      <c r="L116" s="200">
        <v>16.797415782187354</v>
      </c>
      <c r="M116" s="203">
        <v>26.936515261388355</v>
      </c>
      <c r="N116" s="434"/>
      <c r="O116" s="202">
        <v>83.407698706798755</v>
      </c>
      <c r="P116" s="200">
        <v>10.213264765938138</v>
      </c>
      <c r="Q116" s="200">
        <v>6.3790365272631018</v>
      </c>
      <c r="R116" s="201">
        <v>57.892910836128145</v>
      </c>
      <c r="S116" s="200">
        <v>15.438880536602289</v>
      </c>
      <c r="T116" s="200">
        <v>26.668208627269575</v>
      </c>
      <c r="U116" s="202">
        <v>84.479487011712365</v>
      </c>
      <c r="V116" s="200">
        <v>8.2509978407380746</v>
      </c>
      <c r="W116" s="200">
        <v>7.2695151475495638</v>
      </c>
      <c r="X116" s="201">
        <v>37.831241283124129</v>
      </c>
      <c r="Y116" s="200">
        <v>17.747559274755929</v>
      </c>
      <c r="Z116" s="203">
        <v>44.421199442119949</v>
      </c>
      <c r="AA116" s="200">
        <v>70.29397818871503</v>
      </c>
      <c r="AB116" s="204">
        <v>20.839260312944525</v>
      </c>
      <c r="AC116" s="200">
        <v>8.8667614983404466</v>
      </c>
      <c r="AD116" s="201">
        <v>66.885604816639301</v>
      </c>
      <c r="AE116" s="200">
        <v>19.266557197591681</v>
      </c>
      <c r="AF116" s="205">
        <v>13.84783798576902</v>
      </c>
    </row>
    <row r="117" spans="1:32" x14ac:dyDescent="0.25">
      <c r="A117" s="199" t="s">
        <v>413</v>
      </c>
      <c r="B117" s="200">
        <v>59.964405774174409</v>
      </c>
      <c r="C117" s="200">
        <v>22.83171841012458</v>
      </c>
      <c r="D117" s="200">
        <v>17.203875815701007</v>
      </c>
      <c r="E117" s="201">
        <v>42.028565214239109</v>
      </c>
      <c r="F117" s="200">
        <v>22.774837477947752</v>
      </c>
      <c r="G117" s="200">
        <v>35.196597307813143</v>
      </c>
      <c r="H117" s="202">
        <v>68.964896194904711</v>
      </c>
      <c r="I117" s="200">
        <v>15.436505337612155</v>
      </c>
      <c r="J117" s="200">
        <v>15.598598467483136</v>
      </c>
      <c r="K117" s="201">
        <v>43.756388873944154</v>
      </c>
      <c r="L117" s="200">
        <v>21.875504384785067</v>
      </c>
      <c r="M117" s="203">
        <v>34.368106741270779</v>
      </c>
      <c r="N117" s="434"/>
      <c r="O117" s="202">
        <v>63.398936666355752</v>
      </c>
      <c r="P117" s="200">
        <v>17.911886329011597</v>
      </c>
      <c r="Q117" s="200">
        <v>18.689177004632651</v>
      </c>
      <c r="R117" s="201">
        <v>40.936034681058125</v>
      </c>
      <c r="S117" s="200">
        <v>23.17968680881182</v>
      </c>
      <c r="T117" s="200">
        <v>35.884278510130052</v>
      </c>
      <c r="U117" s="202">
        <v>76.440908208810399</v>
      </c>
      <c r="V117" s="200">
        <v>11.925092179313021</v>
      </c>
      <c r="W117" s="200">
        <v>11.633999611876575</v>
      </c>
      <c r="X117" s="201">
        <v>47.013333333333335</v>
      </c>
      <c r="Y117" s="200">
        <v>26.906666666666666</v>
      </c>
      <c r="Z117" s="203">
        <v>26.08</v>
      </c>
      <c r="AA117" s="200">
        <v>71.967232863510418</v>
      </c>
      <c r="AB117" s="204">
        <v>14.564510299963858</v>
      </c>
      <c r="AC117" s="200">
        <v>13.468256836525718</v>
      </c>
      <c r="AD117" s="201">
        <v>49.320882852292023</v>
      </c>
      <c r="AE117" s="200">
        <v>12.365591397849462</v>
      </c>
      <c r="AF117" s="205">
        <v>38.31352574985852</v>
      </c>
    </row>
    <row r="118" spans="1:32" x14ac:dyDescent="0.25">
      <c r="A118" s="199" t="s">
        <v>414</v>
      </c>
      <c r="B118" s="200">
        <v>83.443377037894678</v>
      </c>
      <c r="C118" s="200">
        <v>8.8525205745220141</v>
      </c>
      <c r="D118" s="200">
        <v>7.7041023875833154</v>
      </c>
      <c r="E118" s="201">
        <v>53.23833126807105</v>
      </c>
      <c r="F118" s="200">
        <v>22.152003304419662</v>
      </c>
      <c r="G118" s="200">
        <v>24.609665427509295</v>
      </c>
      <c r="H118" s="202">
        <v>82.340534888254794</v>
      </c>
      <c r="I118" s="200">
        <v>11.465182638285805</v>
      </c>
      <c r="J118" s="200">
        <v>6.1942824734594044</v>
      </c>
      <c r="K118" s="201">
        <v>47.291744490100854</v>
      </c>
      <c r="L118" s="200">
        <v>27.874486365334327</v>
      </c>
      <c r="M118" s="203">
        <v>24.833769144564812</v>
      </c>
      <c r="N118" s="434"/>
      <c r="O118" s="202">
        <v>82.769397582676916</v>
      </c>
      <c r="P118" s="200">
        <v>11.471122875275059</v>
      </c>
      <c r="Q118" s="200">
        <v>5.7594795420480276</v>
      </c>
      <c r="R118" s="201">
        <v>49.553877831159923</v>
      </c>
      <c r="S118" s="200">
        <v>23.582704186684968</v>
      </c>
      <c r="T118" s="200">
        <v>26.863417982155113</v>
      </c>
      <c r="U118" s="202">
        <v>83.04165771956194</v>
      </c>
      <c r="V118" s="200">
        <v>10.833154391238994</v>
      </c>
      <c r="W118" s="200">
        <v>6.1251878891990552</v>
      </c>
      <c r="X118" s="201">
        <v>49.597088640499095</v>
      </c>
      <c r="Y118" s="200">
        <v>31.271120353522225</v>
      </c>
      <c r="Z118" s="203">
        <v>19.131791005978684</v>
      </c>
      <c r="AA118" s="200">
        <v>78.219667546993946</v>
      </c>
      <c r="AB118" s="204">
        <v>13.267049867950909</v>
      </c>
      <c r="AC118" s="200">
        <v>8.5132825850551495</v>
      </c>
      <c r="AD118" s="201">
        <v>36.085219707057256</v>
      </c>
      <c r="AE118" s="200">
        <v>35.95206391478029</v>
      </c>
      <c r="AF118" s="205">
        <v>27.962716378162451</v>
      </c>
    </row>
    <row r="119" spans="1:32" x14ac:dyDescent="0.25">
      <c r="A119" s="199" t="s">
        <v>415</v>
      </c>
      <c r="B119" s="200">
        <v>82.398309561542533</v>
      </c>
      <c r="C119" s="200">
        <v>10.935023771790808</v>
      </c>
      <c r="D119" s="200">
        <v>6.666666666666667</v>
      </c>
      <c r="E119" s="201">
        <v>47.098765432098766</v>
      </c>
      <c r="F119" s="200">
        <v>32.037037037037038</v>
      </c>
      <c r="G119" s="200">
        <v>20.8641975308642</v>
      </c>
      <c r="H119" s="202">
        <v>69.429698164720151</v>
      </c>
      <c r="I119" s="200">
        <v>11.239193083573488</v>
      </c>
      <c r="J119" s="200">
        <v>19.331108751706356</v>
      </c>
      <c r="K119" s="201">
        <v>47.172774869109944</v>
      </c>
      <c r="L119" s="200">
        <v>18.900523560209422</v>
      </c>
      <c r="M119" s="203">
        <v>33.926701570680628</v>
      </c>
      <c r="N119" s="434"/>
      <c r="O119" s="202">
        <v>67.712606719148454</v>
      </c>
      <c r="P119" s="200">
        <v>12.473666703625678</v>
      </c>
      <c r="Q119" s="200">
        <v>19.813726577225857</v>
      </c>
      <c r="R119" s="201">
        <v>51.330150068212824</v>
      </c>
      <c r="S119" s="200">
        <v>17.087312414733972</v>
      </c>
      <c r="T119" s="200">
        <v>31.582537517053204</v>
      </c>
      <c r="U119" s="202">
        <v>76.348039215686271</v>
      </c>
      <c r="V119" s="200">
        <v>10.9375</v>
      </c>
      <c r="W119" s="200">
        <v>12.714460784313724</v>
      </c>
      <c r="X119" s="201">
        <v>36.009732360097324</v>
      </c>
      <c r="Y119" s="200">
        <v>19.099756690997566</v>
      </c>
      <c r="Z119" s="203">
        <v>44.89051094890511</v>
      </c>
      <c r="AA119" s="200">
        <v>61.57253599114064</v>
      </c>
      <c r="AB119" s="204">
        <v>0</v>
      </c>
      <c r="AC119" s="200">
        <v>38.42746400885936</v>
      </c>
      <c r="AD119" s="201">
        <v>0</v>
      </c>
      <c r="AE119" s="200">
        <v>100</v>
      </c>
      <c r="AF119" s="205">
        <v>0</v>
      </c>
    </row>
    <row r="120" spans="1:32" x14ac:dyDescent="0.25">
      <c r="A120" s="199" t="s">
        <v>416</v>
      </c>
      <c r="B120" s="200">
        <v>83.072470856770195</v>
      </c>
      <c r="C120" s="200">
        <v>11.69805168337817</v>
      </c>
      <c r="D120" s="200">
        <v>5.2294774598516343</v>
      </c>
      <c r="E120" s="201">
        <v>55.745469522240533</v>
      </c>
      <c r="F120" s="200">
        <v>21.647446457990117</v>
      </c>
      <c r="G120" s="200">
        <v>22.607084019769356</v>
      </c>
      <c r="H120" s="202">
        <v>82.136109107148997</v>
      </c>
      <c r="I120" s="200">
        <v>11.144319626232436</v>
      </c>
      <c r="J120" s="200">
        <v>6.7195712666185718</v>
      </c>
      <c r="K120" s="201">
        <v>67.960758007714233</v>
      </c>
      <c r="L120" s="200">
        <v>12.996813684387053</v>
      </c>
      <c r="M120" s="203">
        <v>19.04242830789871</v>
      </c>
      <c r="N120" s="434"/>
      <c r="O120" s="202">
        <v>83.183819022677881</v>
      </c>
      <c r="P120" s="200">
        <v>12.614921713935475</v>
      </c>
      <c r="Q120" s="200">
        <v>4.2012592633866381</v>
      </c>
      <c r="R120" s="201">
        <v>78.092485549132945</v>
      </c>
      <c r="S120" s="200">
        <v>3.901734104046243</v>
      </c>
      <c r="T120" s="200">
        <v>18.00578034682081</v>
      </c>
      <c r="U120" s="202">
        <v>78.814745683621084</v>
      </c>
      <c r="V120" s="200">
        <v>9.4960335977601495</v>
      </c>
      <c r="W120" s="200">
        <v>11.68922071861876</v>
      </c>
      <c r="X120" s="201">
        <v>70.177514792899416</v>
      </c>
      <c r="Y120" s="200">
        <v>27.928994082840237</v>
      </c>
      <c r="Z120" s="203">
        <v>1.8934911242603552</v>
      </c>
      <c r="AA120" s="200">
        <v>85.868725868725875</v>
      </c>
      <c r="AB120" s="204">
        <v>6.4092664092664089</v>
      </c>
      <c r="AC120" s="200">
        <v>7.7220077220077217</v>
      </c>
      <c r="AD120" s="201">
        <v>37.297734627831716</v>
      </c>
      <c r="AE120" s="200">
        <v>23.139158576051781</v>
      </c>
      <c r="AF120" s="205">
        <v>39.563106796116507</v>
      </c>
    </row>
    <row r="121" spans="1:32" x14ac:dyDescent="0.25">
      <c r="A121" s="199" t="s">
        <v>417</v>
      </c>
      <c r="B121" s="200">
        <v>71.935876623376629</v>
      </c>
      <c r="C121" s="200">
        <v>15.148133116883116</v>
      </c>
      <c r="D121" s="200">
        <v>12.915990259740258</v>
      </c>
      <c r="E121" s="201">
        <v>53.212216956292792</v>
      </c>
      <c r="F121" s="200">
        <v>25.947867298578199</v>
      </c>
      <c r="G121" s="200">
        <v>20.839915745129016</v>
      </c>
      <c r="H121" s="202">
        <v>74.859383869136693</v>
      </c>
      <c r="I121" s="200">
        <v>12.9263635894525</v>
      </c>
      <c r="J121" s="200">
        <v>12.214252541410806</v>
      </c>
      <c r="K121" s="201">
        <v>56.383689839572192</v>
      </c>
      <c r="L121" s="200">
        <v>30.414438502673796</v>
      </c>
      <c r="M121" s="203">
        <v>13.20187165775401</v>
      </c>
      <c r="N121" s="434"/>
      <c r="O121" s="202">
        <v>75.250716332378218</v>
      </c>
      <c r="P121" s="200">
        <v>12.5</v>
      </c>
      <c r="Q121" s="200">
        <v>12.249283667621777</v>
      </c>
      <c r="R121" s="201">
        <v>58.076225045372055</v>
      </c>
      <c r="S121" s="200">
        <v>27.268602540834845</v>
      </c>
      <c r="T121" s="200">
        <v>14.655172413793101</v>
      </c>
      <c r="U121" s="202">
        <v>69.20583468395462</v>
      </c>
      <c r="V121" s="200">
        <v>15.008103727714751</v>
      </c>
      <c r="W121" s="200">
        <v>15.786061588330632</v>
      </c>
      <c r="X121" s="201">
        <v>23.74429223744292</v>
      </c>
      <c r="Y121" s="200">
        <v>70.319634703196343</v>
      </c>
      <c r="Z121" s="203">
        <v>5.93607305936073</v>
      </c>
      <c r="AA121" s="200">
        <v>89.764936336924578</v>
      </c>
      <c r="AB121" s="204">
        <v>8.9618021547502451</v>
      </c>
      <c r="AC121" s="200">
        <v>1.2732615083251715</v>
      </c>
      <c r="AD121" s="201">
        <v>86.819484240687686</v>
      </c>
      <c r="AE121" s="200">
        <v>0</v>
      </c>
      <c r="AF121" s="205">
        <v>13.180515759312319</v>
      </c>
    </row>
    <row r="122" spans="1:32" x14ac:dyDescent="0.25">
      <c r="A122" s="199" t="s">
        <v>418</v>
      </c>
      <c r="B122" s="200">
        <v>71.08001435235019</v>
      </c>
      <c r="C122" s="200">
        <v>15.862608865838146</v>
      </c>
      <c r="D122" s="200">
        <v>13.057376781811659</v>
      </c>
      <c r="E122" s="201">
        <v>53.118568608509385</v>
      </c>
      <c r="F122" s="200">
        <v>25.694065269435928</v>
      </c>
      <c r="G122" s="200">
        <v>21.187366122054684</v>
      </c>
      <c r="H122" s="202">
        <v>77.088228320148303</v>
      </c>
      <c r="I122" s="200">
        <v>11.974305360953633</v>
      </c>
      <c r="J122" s="200">
        <v>10.937466318898062</v>
      </c>
      <c r="K122" s="201">
        <v>58.583774022958856</v>
      </c>
      <c r="L122" s="200">
        <v>15.400490132851798</v>
      </c>
      <c r="M122" s="203">
        <v>26.015735844189347</v>
      </c>
      <c r="N122" s="434"/>
      <c r="O122" s="202">
        <v>77.70678836280662</v>
      </c>
      <c r="P122" s="200">
        <v>12.11256892945427</v>
      </c>
      <c r="Q122" s="200">
        <v>10.180642707739114</v>
      </c>
      <c r="R122" s="201">
        <v>60.156988840552295</v>
      </c>
      <c r="S122" s="200">
        <v>19.434461887648951</v>
      </c>
      <c r="T122" s="200">
        <v>20.408549271798751</v>
      </c>
      <c r="U122" s="202">
        <v>77.902694320604766</v>
      </c>
      <c r="V122" s="200">
        <v>9.6271887316663438</v>
      </c>
      <c r="W122" s="200">
        <v>12.470116947728888</v>
      </c>
      <c r="X122" s="201">
        <v>52.338260237460624</v>
      </c>
      <c r="Y122" s="200">
        <v>8.0688151199418474</v>
      </c>
      <c r="Z122" s="203">
        <v>39.592924642597524</v>
      </c>
      <c r="AA122" s="200">
        <v>70.837843689110187</v>
      </c>
      <c r="AB122" s="204">
        <v>19.05174280147218</v>
      </c>
      <c r="AC122" s="200">
        <v>10.110413509417624</v>
      </c>
      <c r="AD122" s="201">
        <v>70.024875621890544</v>
      </c>
      <c r="AE122" s="200">
        <v>0</v>
      </c>
      <c r="AF122" s="205">
        <v>29.975124378109452</v>
      </c>
    </row>
    <row r="123" spans="1:32" x14ac:dyDescent="0.25">
      <c r="A123" s="199" t="s">
        <v>419</v>
      </c>
      <c r="B123" s="200">
        <v>84.605395442359253</v>
      </c>
      <c r="C123" s="200">
        <v>12.552362600536194</v>
      </c>
      <c r="D123" s="200">
        <v>2.8422419571045578</v>
      </c>
      <c r="E123" s="201">
        <v>55.46039381318316</v>
      </c>
      <c r="F123" s="200">
        <v>19.221368373711893</v>
      </c>
      <c r="G123" s="200">
        <v>25.318237813104943</v>
      </c>
      <c r="H123" s="202">
        <v>80.529556267296869</v>
      </c>
      <c r="I123" s="200">
        <v>13.515656581361361</v>
      </c>
      <c r="J123" s="200">
        <v>5.9547871513417707</v>
      </c>
      <c r="K123" s="201">
        <v>52.469065077910173</v>
      </c>
      <c r="L123" s="200">
        <v>21.522685609532537</v>
      </c>
      <c r="M123" s="203">
        <v>26.008249312557286</v>
      </c>
      <c r="N123" s="434"/>
      <c r="O123" s="202">
        <v>80.812783813301152</v>
      </c>
      <c r="P123" s="200">
        <v>13.263781111685924</v>
      </c>
      <c r="Q123" s="200">
        <v>5.9234350750129332</v>
      </c>
      <c r="R123" s="201">
        <v>55.688405797101446</v>
      </c>
      <c r="S123" s="200">
        <v>19.592391304347824</v>
      </c>
      <c r="T123" s="200">
        <v>24.719202898550723</v>
      </c>
      <c r="U123" s="202">
        <v>78.005004745879717</v>
      </c>
      <c r="V123" s="200">
        <v>15.273103805332644</v>
      </c>
      <c r="W123" s="200">
        <v>6.7218914487876438</v>
      </c>
      <c r="X123" s="201">
        <v>50.83229813664596</v>
      </c>
      <c r="Y123" s="200">
        <v>24</v>
      </c>
      <c r="Z123" s="203">
        <v>25.167701863354036</v>
      </c>
      <c r="AA123" s="200">
        <v>88.197289631263786</v>
      </c>
      <c r="AB123" s="204">
        <v>8.4777812795461713</v>
      </c>
      <c r="AC123" s="200">
        <v>3.3249290891900407</v>
      </c>
      <c r="AD123" s="201">
        <v>40.351611552951027</v>
      </c>
      <c r="AE123" s="200">
        <v>26.245290916701546</v>
      </c>
      <c r="AF123" s="205">
        <v>33.403097530347424</v>
      </c>
    </row>
    <row r="124" spans="1:32" x14ac:dyDescent="0.25">
      <c r="A124" s="199" t="s">
        <v>420</v>
      </c>
      <c r="B124" s="200">
        <v>63.342190168912502</v>
      </c>
      <c r="C124" s="200">
        <v>22.537483393433288</v>
      </c>
      <c r="D124" s="200">
        <v>14.120326437654205</v>
      </c>
      <c r="E124" s="201">
        <v>48.567335243553003</v>
      </c>
      <c r="F124" s="200">
        <v>17.736389684813751</v>
      </c>
      <c r="G124" s="200">
        <v>33.696275071633238</v>
      </c>
      <c r="H124" s="202">
        <v>77.233982500705608</v>
      </c>
      <c r="I124" s="200">
        <v>12.797064634490546</v>
      </c>
      <c r="J124" s="200">
        <v>9.968952864803839</v>
      </c>
      <c r="K124" s="201">
        <v>52.985074626865668</v>
      </c>
      <c r="L124" s="200">
        <v>28.984111699566682</v>
      </c>
      <c r="M124" s="203">
        <v>18.030813673567643</v>
      </c>
      <c r="N124" s="434"/>
      <c r="O124" s="202">
        <v>76.768642447418728</v>
      </c>
      <c r="P124" s="200">
        <v>13.948374760994264</v>
      </c>
      <c r="Q124" s="200">
        <v>9.2829827915869974</v>
      </c>
      <c r="R124" s="201">
        <v>49.212598425196852</v>
      </c>
      <c r="S124" s="200">
        <v>33.706844336765599</v>
      </c>
      <c r="T124" s="200">
        <v>17.080557238037553</v>
      </c>
      <c r="U124" s="202">
        <v>79.892966360856263</v>
      </c>
      <c r="V124" s="200">
        <v>11.047400611620795</v>
      </c>
      <c r="W124" s="200">
        <v>9.0596330275229349</v>
      </c>
      <c r="X124" s="201">
        <v>84.833333333333343</v>
      </c>
      <c r="Y124" s="200">
        <v>15.166666666666668</v>
      </c>
      <c r="Z124" s="203">
        <v>0</v>
      </c>
      <c r="AA124" s="200">
        <v>72.763222936233319</v>
      </c>
      <c r="AB124" s="204">
        <v>11.369253583786456</v>
      </c>
      <c r="AC124" s="200">
        <v>15.867523479980228</v>
      </c>
      <c r="AD124" s="201">
        <v>26.587301587301589</v>
      </c>
      <c r="AE124" s="200">
        <v>0</v>
      </c>
      <c r="AF124" s="205">
        <v>73.412698412698404</v>
      </c>
    </row>
    <row r="125" spans="1:32" x14ac:dyDescent="0.25">
      <c r="A125" s="199" t="s">
        <v>421</v>
      </c>
      <c r="B125" s="200">
        <v>70.621688621008119</v>
      </c>
      <c r="C125" s="200">
        <v>18.337140912846937</v>
      </c>
      <c r="D125" s="200">
        <v>11.041170466144948</v>
      </c>
      <c r="E125" s="201">
        <v>40.035267609313266</v>
      </c>
      <c r="F125" s="200">
        <v>19.207784998203962</v>
      </c>
      <c r="G125" s="200">
        <v>40.756947392482772</v>
      </c>
      <c r="H125" s="202">
        <v>74.994771241830065</v>
      </c>
      <c r="I125" s="200">
        <v>13.462745098039216</v>
      </c>
      <c r="J125" s="200">
        <v>11.542483660130719</v>
      </c>
      <c r="K125" s="201">
        <v>37.031624481206521</v>
      </c>
      <c r="L125" s="200">
        <v>35.260419711229325</v>
      </c>
      <c r="M125" s="203">
        <v>27.707955807564154</v>
      </c>
      <c r="N125" s="434"/>
      <c r="O125" s="202">
        <v>75.384688449848028</v>
      </c>
      <c r="P125" s="200">
        <v>12.704217325227962</v>
      </c>
      <c r="Q125" s="200">
        <v>11.911094224924012</v>
      </c>
      <c r="R125" s="201">
        <v>45.077523066679348</v>
      </c>
      <c r="S125" s="200">
        <v>22.971559022163035</v>
      </c>
      <c r="T125" s="200">
        <v>31.950917911157617</v>
      </c>
      <c r="U125" s="202">
        <v>72.500773754255647</v>
      </c>
      <c r="V125" s="200">
        <v>16.152120086660478</v>
      </c>
      <c r="W125" s="200">
        <v>11.347106159083875</v>
      </c>
      <c r="X125" s="201">
        <v>28.331918505942276</v>
      </c>
      <c r="Y125" s="200">
        <v>57.724957555178271</v>
      </c>
      <c r="Z125" s="203">
        <v>13.943123938879456</v>
      </c>
      <c r="AA125" s="200">
        <v>80.620608899297423</v>
      </c>
      <c r="AB125" s="204">
        <v>9.063231850117095</v>
      </c>
      <c r="AC125" s="200">
        <v>10.31615925058548</v>
      </c>
      <c r="AD125" s="201">
        <v>13.868225292242295</v>
      </c>
      <c r="AE125" s="200">
        <v>47.662061636556849</v>
      </c>
      <c r="AF125" s="205">
        <v>38.46971307120085</v>
      </c>
    </row>
    <row r="126" spans="1:32" x14ac:dyDescent="0.25">
      <c r="A126" s="199" t="s">
        <v>422</v>
      </c>
      <c r="B126" s="200">
        <v>80.796148032025087</v>
      </c>
      <c r="C126" s="200">
        <v>12.048597502939366</v>
      </c>
      <c r="D126" s="200">
        <v>7.1552544650355525</v>
      </c>
      <c r="E126" s="201">
        <v>66.277200791295741</v>
      </c>
      <c r="F126" s="200">
        <v>17.167408506429275</v>
      </c>
      <c r="G126" s="200">
        <v>16.555390702274973</v>
      </c>
      <c r="H126" s="202">
        <v>80.863000822465054</v>
      </c>
      <c r="I126" s="200">
        <v>10.721419339678064</v>
      </c>
      <c r="J126" s="200">
        <v>8.4155798378568925</v>
      </c>
      <c r="K126" s="201">
        <v>54.322751862815146</v>
      </c>
      <c r="L126" s="200">
        <v>19.271205471062569</v>
      </c>
      <c r="M126" s="203">
        <v>26.406042666122282</v>
      </c>
      <c r="N126" s="434"/>
      <c r="O126" s="202">
        <v>83.434190620272318</v>
      </c>
      <c r="P126" s="200">
        <v>9.9470499243570352</v>
      </c>
      <c r="Q126" s="200">
        <v>6.6187594553706504</v>
      </c>
      <c r="R126" s="201">
        <v>59.701960784313727</v>
      </c>
      <c r="S126" s="200">
        <v>10.196078431372548</v>
      </c>
      <c r="T126" s="200">
        <v>30.101960784313725</v>
      </c>
      <c r="U126" s="202">
        <v>79.635816906114272</v>
      </c>
      <c r="V126" s="200">
        <v>12.43735382559305</v>
      </c>
      <c r="W126" s="200">
        <v>7.9268292682926829</v>
      </c>
      <c r="X126" s="201">
        <v>44.461479494059027</v>
      </c>
      <c r="Y126" s="200">
        <v>38.060559601379836</v>
      </c>
      <c r="Z126" s="203">
        <v>17.477960904561137</v>
      </c>
      <c r="AA126" s="200">
        <v>71.632996632996637</v>
      </c>
      <c r="AB126" s="204">
        <v>8.978675645342312</v>
      </c>
      <c r="AC126" s="200">
        <v>19.388327721661057</v>
      </c>
      <c r="AD126" s="201">
        <v>43.788437884378844</v>
      </c>
      <c r="AE126" s="200">
        <v>30.135301353013531</v>
      </c>
      <c r="AF126" s="205">
        <v>26.076260762607628</v>
      </c>
    </row>
    <row r="127" spans="1:32" x14ac:dyDescent="0.25">
      <c r="A127" s="199" t="s">
        <v>423</v>
      </c>
      <c r="B127" s="200">
        <v>79.393006377831526</v>
      </c>
      <c r="C127" s="200">
        <v>5.945311927278059</v>
      </c>
      <c r="D127" s="200">
        <v>14.661681694890405</v>
      </c>
      <c r="E127" s="201">
        <v>60.983939449880012</v>
      </c>
      <c r="F127" s="200">
        <v>12.922281705741185</v>
      </c>
      <c r="G127" s="200">
        <v>26.093778844378807</v>
      </c>
      <c r="H127" s="202">
        <v>79.406865585168021</v>
      </c>
      <c r="I127" s="200">
        <v>12.717265353418309</v>
      </c>
      <c r="J127" s="200">
        <v>7.875869061413673</v>
      </c>
      <c r="K127" s="201">
        <v>66.650082918739642</v>
      </c>
      <c r="L127" s="200">
        <v>16.368159203980099</v>
      </c>
      <c r="M127" s="203">
        <v>16.981757877280266</v>
      </c>
      <c r="N127" s="434"/>
      <c r="O127" s="202">
        <v>77.039660056657226</v>
      </c>
      <c r="P127" s="200">
        <v>15.708215297450426</v>
      </c>
      <c r="Q127" s="200">
        <v>7.2521246458923505</v>
      </c>
      <c r="R127" s="201">
        <v>71.545741324921124</v>
      </c>
      <c r="S127" s="200">
        <v>12.839116719242902</v>
      </c>
      <c r="T127" s="200">
        <v>15.615141955835963</v>
      </c>
      <c r="U127" s="202">
        <v>80.771888263744941</v>
      </c>
      <c r="V127" s="200">
        <v>10.99595301549699</v>
      </c>
      <c r="W127" s="200">
        <v>8.2321587207580684</v>
      </c>
      <c r="X127" s="201">
        <v>60.625875758991121</v>
      </c>
      <c r="Y127" s="200">
        <v>19.476879962634282</v>
      </c>
      <c r="Z127" s="203">
        <v>19.89724427837459</v>
      </c>
      <c r="AA127" s="200">
        <v>85.255648038049941</v>
      </c>
      <c r="AB127" s="204">
        <v>5.3507728894173603</v>
      </c>
      <c r="AC127" s="200">
        <v>9.3935790725327006</v>
      </c>
      <c r="AD127" s="201">
        <v>63.004172461752439</v>
      </c>
      <c r="AE127" s="200">
        <v>22.67037552155772</v>
      </c>
      <c r="AF127" s="205">
        <v>14.325452016689846</v>
      </c>
    </row>
    <row r="128" spans="1:32" x14ac:dyDescent="0.25">
      <c r="A128" s="199" t="s">
        <v>424</v>
      </c>
      <c r="B128" s="200">
        <v>79.479301423027167</v>
      </c>
      <c r="C128" s="200">
        <v>14.788163001293661</v>
      </c>
      <c r="D128" s="200">
        <v>5.7325355756791723</v>
      </c>
      <c r="E128" s="201">
        <v>70.213156927600153</v>
      </c>
      <c r="F128" s="200">
        <v>15.049614112458654</v>
      </c>
      <c r="G128" s="200">
        <v>14.737228959941199</v>
      </c>
      <c r="H128" s="202">
        <v>72.795749153334114</v>
      </c>
      <c r="I128" s="200">
        <v>19.099614621044026</v>
      </c>
      <c r="J128" s="200">
        <v>8.1046362256218618</v>
      </c>
      <c r="K128" s="201">
        <v>67.671558905196349</v>
      </c>
      <c r="L128" s="200">
        <v>12.574375247917494</v>
      </c>
      <c r="M128" s="203">
        <v>19.754065846886157</v>
      </c>
      <c r="N128" s="434"/>
      <c r="O128" s="202">
        <v>80.912990196078425</v>
      </c>
      <c r="P128" s="200">
        <v>13.337418300653594</v>
      </c>
      <c r="Q128" s="200">
        <v>5.7495915032679736</v>
      </c>
      <c r="R128" s="201">
        <v>66.934135740555007</v>
      </c>
      <c r="S128" s="200">
        <v>5.9511868940153798</v>
      </c>
      <c r="T128" s="200">
        <v>27.114677365429625</v>
      </c>
      <c r="U128" s="202">
        <v>61.490210986504465</v>
      </c>
      <c r="V128" s="200">
        <v>30.431476905531269</v>
      </c>
      <c r="W128" s="200">
        <v>8.0783121079642655</v>
      </c>
      <c r="X128" s="201">
        <v>80.103550295857985</v>
      </c>
      <c r="Y128" s="200">
        <v>19.896449704142011</v>
      </c>
      <c r="Z128" s="203">
        <v>0</v>
      </c>
      <c r="AA128" s="200">
        <v>63.145200192957063</v>
      </c>
      <c r="AB128" s="204">
        <v>17.559093101784853</v>
      </c>
      <c r="AC128" s="200">
        <v>19.29570670525808</v>
      </c>
      <c r="AD128" s="201">
        <v>46.848137535816619</v>
      </c>
      <c r="AE128" s="200">
        <v>26.647564469914041</v>
      </c>
      <c r="AF128" s="205">
        <v>26.504297994269344</v>
      </c>
    </row>
    <row r="129" spans="1:32" x14ac:dyDescent="0.25">
      <c r="A129" s="199" t="s">
        <v>425</v>
      </c>
      <c r="B129" s="200">
        <v>77.604878211322514</v>
      </c>
      <c r="C129" s="200">
        <v>15.947485921828664</v>
      </c>
      <c r="D129" s="200">
        <v>6.4476358668488221</v>
      </c>
      <c r="E129" s="201">
        <v>42.066228235362289</v>
      </c>
      <c r="F129" s="200">
        <v>24.744328881420749</v>
      </c>
      <c r="G129" s="200">
        <v>33.189442883216962</v>
      </c>
      <c r="H129" s="202">
        <v>72.488455618265775</v>
      </c>
      <c r="I129" s="200">
        <v>18.815802975885067</v>
      </c>
      <c r="J129" s="200">
        <v>8.6957414058491533</v>
      </c>
      <c r="K129" s="201">
        <v>52.082753502180168</v>
      </c>
      <c r="L129" s="200">
        <v>20.975971797012711</v>
      </c>
      <c r="M129" s="203">
        <v>26.941274700807128</v>
      </c>
      <c r="N129" s="434"/>
      <c r="O129" s="202">
        <v>70.403434646313215</v>
      </c>
      <c r="P129" s="200">
        <v>19.616328199536596</v>
      </c>
      <c r="Q129" s="200">
        <v>9.9802371541501991</v>
      </c>
      <c r="R129" s="201">
        <v>54.644663295182326</v>
      </c>
      <c r="S129" s="200">
        <v>20.015970188980571</v>
      </c>
      <c r="T129" s="200">
        <v>25.339366515837103</v>
      </c>
      <c r="U129" s="202">
        <v>77.939052074018022</v>
      </c>
      <c r="V129" s="200">
        <v>14.631629634725185</v>
      </c>
      <c r="W129" s="200">
        <v>7.4293182912567923</v>
      </c>
      <c r="X129" s="201">
        <v>56.905503634475593</v>
      </c>
      <c r="Y129" s="200">
        <v>23.5202492211838</v>
      </c>
      <c r="Z129" s="203">
        <v>19.574247144340603</v>
      </c>
      <c r="AA129" s="200">
        <v>68.760330578512395</v>
      </c>
      <c r="AB129" s="204">
        <v>26.528925619834709</v>
      </c>
      <c r="AC129" s="200">
        <v>4.7107438016528924</v>
      </c>
      <c r="AD129" s="201">
        <v>30.76923076923077</v>
      </c>
      <c r="AE129" s="200">
        <v>22.70351008215086</v>
      </c>
      <c r="AF129" s="205">
        <v>46.52725914861837</v>
      </c>
    </row>
    <row r="130" spans="1:32" x14ac:dyDescent="0.25">
      <c r="A130" s="199" t="s">
        <v>426</v>
      </c>
      <c r="B130" s="200">
        <v>76.837083452007974</v>
      </c>
      <c r="C130" s="200">
        <v>12.856023924807747</v>
      </c>
      <c r="D130" s="200">
        <v>10.306892623184279</v>
      </c>
      <c r="E130" s="201">
        <v>53.731914893617017</v>
      </c>
      <c r="F130" s="200">
        <v>21.6</v>
      </c>
      <c r="G130" s="200">
        <v>24.668085106382978</v>
      </c>
      <c r="H130" s="202">
        <v>80.375746480101128</v>
      </c>
      <c r="I130" s="200">
        <v>10.337387210670851</v>
      </c>
      <c r="J130" s="200">
        <v>9.2868663092280208</v>
      </c>
      <c r="K130" s="201">
        <v>58.472755180353033</v>
      </c>
      <c r="L130" s="200">
        <v>24.673829623944744</v>
      </c>
      <c r="M130" s="203">
        <v>16.853415195702226</v>
      </c>
      <c r="N130" s="434"/>
      <c r="O130" s="202">
        <v>80.993469226202251</v>
      </c>
      <c r="P130" s="200">
        <v>9.1787057193746282</v>
      </c>
      <c r="Q130" s="200">
        <v>9.8278250544231138</v>
      </c>
      <c r="R130" s="201">
        <v>52.888003677033858</v>
      </c>
      <c r="S130" s="200">
        <v>25.524743373678564</v>
      </c>
      <c r="T130" s="200">
        <v>21.587252949287574</v>
      </c>
      <c r="U130" s="202">
        <v>80.352015978030209</v>
      </c>
      <c r="V130" s="200">
        <v>11.658968917738111</v>
      </c>
      <c r="W130" s="200">
        <v>7.9890151042316813</v>
      </c>
      <c r="X130" s="201">
        <v>62.644590610115671</v>
      </c>
      <c r="Y130" s="200">
        <v>27.126332501701068</v>
      </c>
      <c r="Z130" s="203">
        <v>10.229076888183261</v>
      </c>
      <c r="AA130" s="200">
        <v>77.06202393906419</v>
      </c>
      <c r="AB130" s="204">
        <v>12.100108813928182</v>
      </c>
      <c r="AC130" s="200">
        <v>10.837867247007617</v>
      </c>
      <c r="AD130" s="201">
        <v>67.128523650262778</v>
      </c>
      <c r="AE130" s="200">
        <v>16.8179646440516</v>
      </c>
      <c r="AF130" s="205">
        <v>16.053511705685619</v>
      </c>
    </row>
    <row r="131" spans="1:32" x14ac:dyDescent="0.25">
      <c r="A131" s="199" t="s">
        <v>427</v>
      </c>
      <c r="B131" s="200">
        <v>83.083149222605357</v>
      </c>
      <c r="C131" s="200">
        <v>11.098263508909582</v>
      </c>
      <c r="D131" s="200">
        <v>5.8185872684850617</v>
      </c>
      <c r="E131" s="201">
        <v>57.422355090516533</v>
      </c>
      <c r="F131" s="200">
        <v>15.711675801361899</v>
      </c>
      <c r="G131" s="200">
        <v>26.865969108121572</v>
      </c>
      <c r="H131" s="202">
        <v>86.009607268374282</v>
      </c>
      <c r="I131" s="200">
        <v>9.7745514817600014</v>
      </c>
      <c r="J131" s="200">
        <v>4.2158412498657132</v>
      </c>
      <c r="K131" s="201">
        <v>49.837061585197461</v>
      </c>
      <c r="L131" s="200">
        <v>27.257663628831814</v>
      </c>
      <c r="M131" s="203">
        <v>22.905274785970725</v>
      </c>
      <c r="N131" s="434"/>
      <c r="O131" s="202">
        <v>87.004129985871103</v>
      </c>
      <c r="P131" s="200">
        <v>9.3087707857841533</v>
      </c>
      <c r="Q131" s="200">
        <v>3.6870992283447452</v>
      </c>
      <c r="R131" s="201">
        <v>54.339728068541625</v>
      </c>
      <c r="S131" s="200">
        <v>22.19221456509592</v>
      </c>
      <c r="T131" s="200">
        <v>23.468057366362451</v>
      </c>
      <c r="U131" s="202">
        <v>84.194992375424277</v>
      </c>
      <c r="V131" s="200">
        <v>10.851492941118599</v>
      </c>
      <c r="W131" s="200">
        <v>4.9535146834571302</v>
      </c>
      <c r="X131" s="201">
        <v>51.844220070059755</v>
      </c>
      <c r="Y131" s="200">
        <v>26.375437873480323</v>
      </c>
      <c r="Z131" s="203">
        <v>21.780342056459922</v>
      </c>
      <c r="AA131" s="200">
        <v>86.045352604036879</v>
      </c>
      <c r="AB131" s="204">
        <v>9.1826563668078744</v>
      </c>
      <c r="AC131" s="200">
        <v>4.7719910291552452</v>
      </c>
      <c r="AD131" s="201">
        <v>26.730310262529834</v>
      </c>
      <c r="AE131" s="200">
        <v>50.596658711217181</v>
      </c>
      <c r="AF131" s="205">
        <v>22.673031026252982</v>
      </c>
    </row>
    <row r="132" spans="1:32" x14ac:dyDescent="0.25">
      <c r="A132" s="199" t="s">
        <v>428</v>
      </c>
      <c r="B132" s="200">
        <v>60.594167348051243</v>
      </c>
      <c r="C132" s="200">
        <v>24.071954210956665</v>
      </c>
      <c r="D132" s="200">
        <v>15.333878440992097</v>
      </c>
      <c r="E132" s="201">
        <v>39.693571961527844</v>
      </c>
      <c r="F132" s="200">
        <v>25.96768093870417</v>
      </c>
      <c r="G132" s="200">
        <v>34.338747099767978</v>
      </c>
      <c r="H132" s="202">
        <v>67.398727060789554</v>
      </c>
      <c r="I132" s="200">
        <v>18.137836415964351</v>
      </c>
      <c r="J132" s="200">
        <v>14.463436523246099</v>
      </c>
      <c r="K132" s="201">
        <v>45.107735782409044</v>
      </c>
      <c r="L132" s="200">
        <v>25.85423289768044</v>
      </c>
      <c r="M132" s="203">
        <v>29.038031319910512</v>
      </c>
      <c r="N132" s="434"/>
      <c r="O132" s="202">
        <v>63.762319153919613</v>
      </c>
      <c r="P132" s="200">
        <v>20.042159883249553</v>
      </c>
      <c r="Q132" s="200">
        <v>16.195520962830837</v>
      </c>
      <c r="R132" s="201">
        <v>47.231469789155476</v>
      </c>
      <c r="S132" s="200">
        <v>23.667393716756592</v>
      </c>
      <c r="T132" s="200">
        <v>29.101136494087935</v>
      </c>
      <c r="U132" s="202">
        <v>72.960824201063062</v>
      </c>
      <c r="V132" s="200">
        <v>14.393989106896779</v>
      </c>
      <c r="W132" s="200">
        <v>12.645186692040161</v>
      </c>
      <c r="X132" s="201">
        <v>43.612968763226959</v>
      </c>
      <c r="Y132" s="200">
        <v>31.533056801828497</v>
      </c>
      <c r="Z132" s="203">
        <v>24.853974434944554</v>
      </c>
      <c r="AA132" s="200">
        <v>70.346715328467155</v>
      </c>
      <c r="AB132" s="204">
        <v>18.905109489051096</v>
      </c>
      <c r="AC132" s="200">
        <v>10.748175182481752</v>
      </c>
      <c r="AD132" s="201">
        <v>36.733790661650808</v>
      </c>
      <c r="AE132" s="200">
        <v>23.655676034520912</v>
      </c>
      <c r="AF132" s="205">
        <v>39.610533303828284</v>
      </c>
    </row>
    <row r="133" spans="1:32" x14ac:dyDescent="0.25">
      <c r="A133" s="199" t="s">
        <v>429</v>
      </c>
      <c r="B133" s="200">
        <v>80.658809307948019</v>
      </c>
      <c r="C133" s="200">
        <v>9.5295658305631115</v>
      </c>
      <c r="D133" s="200">
        <v>9.8116248614888679</v>
      </c>
      <c r="E133" s="201">
        <v>53.798276412384297</v>
      </c>
      <c r="F133" s="200">
        <v>31.343759974465367</v>
      </c>
      <c r="G133" s="200">
        <v>14.857963613150336</v>
      </c>
      <c r="H133" s="202">
        <v>77.303397623454956</v>
      </c>
      <c r="I133" s="200">
        <v>14.163730817459843</v>
      </c>
      <c r="J133" s="200">
        <v>8.5328715590852084</v>
      </c>
      <c r="K133" s="201">
        <v>47.003776063043837</v>
      </c>
      <c r="L133" s="200">
        <v>36.726317517648987</v>
      </c>
      <c r="M133" s="203">
        <v>16.269906419307176</v>
      </c>
      <c r="N133" s="434"/>
      <c r="O133" s="202">
        <v>73.026865671641801</v>
      </c>
      <c r="P133" s="200">
        <v>20.477611940298505</v>
      </c>
      <c r="Q133" s="200">
        <v>6.4955223880597019</v>
      </c>
      <c r="R133" s="201">
        <v>49.622751015670339</v>
      </c>
      <c r="S133" s="200">
        <v>38.508415554265817</v>
      </c>
      <c r="T133" s="200">
        <v>11.868833430063843</v>
      </c>
      <c r="U133" s="202">
        <v>81.973742439887886</v>
      </c>
      <c r="V133" s="200">
        <v>8.6443428234252835</v>
      </c>
      <c r="W133" s="200">
        <v>9.3819147366868272</v>
      </c>
      <c r="X133" s="201">
        <v>32.542579075425792</v>
      </c>
      <c r="Y133" s="200">
        <v>39.78102189781022</v>
      </c>
      <c r="Z133" s="203">
        <v>27.676399026763992</v>
      </c>
      <c r="AA133" s="200">
        <v>79.912115505335848</v>
      </c>
      <c r="AB133" s="204">
        <v>4.4569993722536099</v>
      </c>
      <c r="AC133" s="200">
        <v>15.630885122410545</v>
      </c>
      <c r="AD133" s="201">
        <v>61.738261738261734</v>
      </c>
      <c r="AE133" s="200">
        <v>25.574425574425575</v>
      </c>
      <c r="AF133" s="205">
        <v>12.687312687312687</v>
      </c>
    </row>
    <row r="134" spans="1:32" x14ac:dyDescent="0.25">
      <c r="A134" s="199" t="s">
        <v>430</v>
      </c>
      <c r="B134" s="200">
        <v>72.030449561928464</v>
      </c>
      <c r="C134" s="200">
        <v>13.218748503854073</v>
      </c>
      <c r="D134" s="200">
        <v>14.750801934217456</v>
      </c>
      <c r="E134" s="201">
        <v>32.301940308128671</v>
      </c>
      <c r="F134" s="200">
        <v>22.5971765615935</v>
      </c>
      <c r="G134" s="200">
        <v>45.100883130277829</v>
      </c>
      <c r="H134" s="202">
        <v>73.736922862323894</v>
      </c>
      <c r="I134" s="200">
        <v>12.534523643464917</v>
      </c>
      <c r="J134" s="200">
        <v>13.728553494211187</v>
      </c>
      <c r="K134" s="201">
        <v>38.794964028776981</v>
      </c>
      <c r="L134" s="200">
        <v>25.098920863309353</v>
      </c>
      <c r="M134" s="203">
        <v>36.106115107913666</v>
      </c>
      <c r="N134" s="434"/>
      <c r="O134" s="202">
        <v>71.692446313260248</v>
      </c>
      <c r="P134" s="200">
        <v>13.085047804975721</v>
      </c>
      <c r="Q134" s="200">
        <v>15.222505881764029</v>
      </c>
      <c r="R134" s="201">
        <v>40.763076923076923</v>
      </c>
      <c r="S134" s="200">
        <v>24.504615384615384</v>
      </c>
      <c r="T134" s="200">
        <v>34.732307692307693</v>
      </c>
      <c r="U134" s="202">
        <v>74.179504353650373</v>
      </c>
      <c r="V134" s="200">
        <v>12.742799732083053</v>
      </c>
      <c r="W134" s="200">
        <v>13.077695914266577</v>
      </c>
      <c r="X134" s="201">
        <v>35.829567462879275</v>
      </c>
      <c r="Y134" s="200">
        <v>39.380245319561006</v>
      </c>
      <c r="Z134" s="203">
        <v>24.790187217559716</v>
      </c>
      <c r="AA134" s="200">
        <v>82.78145695364239</v>
      </c>
      <c r="AB134" s="204">
        <v>9.0932246561385632</v>
      </c>
      <c r="AC134" s="200">
        <v>8.1253183902190518</v>
      </c>
      <c r="AD134" s="201">
        <v>30.912863070539419</v>
      </c>
      <c r="AE134" s="200">
        <v>13.139695712309821</v>
      </c>
      <c r="AF134" s="205">
        <v>55.947441217150761</v>
      </c>
    </row>
    <row r="135" spans="1:32" x14ac:dyDescent="0.25">
      <c r="A135" s="199" t="s">
        <v>431</v>
      </c>
      <c r="B135" s="200">
        <v>74.318271637465415</v>
      </c>
      <c r="C135" s="200">
        <v>17.771044658147805</v>
      </c>
      <c r="D135" s="200">
        <v>7.9106837043867744</v>
      </c>
      <c r="E135" s="201">
        <v>47.80585582360942</v>
      </c>
      <c r="F135" s="200">
        <v>24.962416780012887</v>
      </c>
      <c r="G135" s="200">
        <v>27.231727396377693</v>
      </c>
      <c r="H135" s="202">
        <v>70.16935483870968</v>
      </c>
      <c r="I135" s="200">
        <v>15.705645161290322</v>
      </c>
      <c r="J135" s="200">
        <v>14.124999999999998</v>
      </c>
      <c r="K135" s="201">
        <v>64.116659031913272</v>
      </c>
      <c r="L135" s="200">
        <v>14.124293785310735</v>
      </c>
      <c r="M135" s="203">
        <v>21.759047182775994</v>
      </c>
      <c r="N135" s="434"/>
      <c r="O135" s="202">
        <v>64.448040008825487</v>
      </c>
      <c r="P135" s="200">
        <v>16.841950430241965</v>
      </c>
      <c r="Q135" s="200">
        <v>18.710009560932559</v>
      </c>
      <c r="R135" s="201">
        <v>63.88818297331639</v>
      </c>
      <c r="S135" s="200">
        <v>12.604828462515883</v>
      </c>
      <c r="T135" s="200">
        <v>23.506988564167724</v>
      </c>
      <c r="U135" s="202">
        <v>78.672768878718529</v>
      </c>
      <c r="V135" s="200">
        <v>14.862700228832951</v>
      </c>
      <c r="W135" s="200">
        <v>6.4645308924485123</v>
      </c>
      <c r="X135" s="201">
        <v>66.562694946974418</v>
      </c>
      <c r="Y135" s="200">
        <v>22.333125389893947</v>
      </c>
      <c r="Z135" s="203">
        <v>11.104179663131628</v>
      </c>
      <c r="AA135" s="200">
        <v>71.579374746244412</v>
      </c>
      <c r="AB135" s="204">
        <v>12.423873325213155</v>
      </c>
      <c r="AC135" s="200">
        <v>15.996751928542427</v>
      </c>
      <c r="AD135" s="201">
        <v>61.127596439169139</v>
      </c>
      <c r="AE135" s="200">
        <v>7.0227497527200793</v>
      </c>
      <c r="AF135" s="205">
        <v>31.849653808110784</v>
      </c>
    </row>
    <row r="136" spans="1:32" x14ac:dyDescent="0.25">
      <c r="A136" s="199" t="s">
        <v>432</v>
      </c>
      <c r="B136" s="200">
        <v>71.113203599079299</v>
      </c>
      <c r="C136" s="200">
        <v>18.330194601381042</v>
      </c>
      <c r="D136" s="200">
        <v>10.556601799539653</v>
      </c>
      <c r="E136" s="201">
        <v>58.572949946751862</v>
      </c>
      <c r="F136" s="200">
        <v>17.234646787362443</v>
      </c>
      <c r="G136" s="200">
        <v>24.192403265885694</v>
      </c>
      <c r="H136" s="202">
        <v>71.430039566312104</v>
      </c>
      <c r="I136" s="200">
        <v>17.255022866245312</v>
      </c>
      <c r="J136" s="200">
        <v>11.314937567442577</v>
      </c>
      <c r="K136" s="201">
        <v>52.290559352062772</v>
      </c>
      <c r="L136" s="200">
        <v>20.602379144520373</v>
      </c>
      <c r="M136" s="203">
        <v>27.107061503416858</v>
      </c>
      <c r="N136" s="434"/>
      <c r="O136" s="202">
        <v>74.023784998595374</v>
      </c>
      <c r="P136" s="200">
        <v>13.952617286262758</v>
      </c>
      <c r="Q136" s="200">
        <v>12.023597715141868</v>
      </c>
      <c r="R136" s="201">
        <v>62.812628126281268</v>
      </c>
      <c r="S136" s="200">
        <v>13.079130791307914</v>
      </c>
      <c r="T136" s="200">
        <v>24.108241082410824</v>
      </c>
      <c r="U136" s="202">
        <v>68.678748903829288</v>
      </c>
      <c r="V136" s="200">
        <v>20.856474714995617</v>
      </c>
      <c r="W136" s="200">
        <v>10.464776381175096</v>
      </c>
      <c r="X136" s="201">
        <v>36.931311329170384</v>
      </c>
      <c r="Y136" s="200">
        <v>40.410347903657453</v>
      </c>
      <c r="Z136" s="203">
        <v>22.658340767172167</v>
      </c>
      <c r="AA136" s="200">
        <v>66.890149561629713</v>
      </c>
      <c r="AB136" s="204">
        <v>22.743682310469314</v>
      </c>
      <c r="AC136" s="200">
        <v>10.366168127900979</v>
      </c>
      <c r="AD136" s="201">
        <v>30.690537084398979</v>
      </c>
      <c r="AE136" s="200">
        <v>10.741687979539643</v>
      </c>
      <c r="AF136" s="205">
        <v>58.567774936061376</v>
      </c>
    </row>
    <row r="137" spans="1:32" x14ac:dyDescent="0.25">
      <c r="A137" s="199" t="s">
        <v>433</v>
      </c>
      <c r="B137" s="200">
        <v>74.210224009190114</v>
      </c>
      <c r="C137" s="200">
        <v>17.338147206039224</v>
      </c>
      <c r="D137" s="200">
        <v>8.4516287847706568</v>
      </c>
      <c r="E137" s="201">
        <v>64.307194078186441</v>
      </c>
      <c r="F137" s="200">
        <v>14.480684709692342</v>
      </c>
      <c r="G137" s="200">
        <v>21.212121212121211</v>
      </c>
      <c r="H137" s="202">
        <v>76.405579813748602</v>
      </c>
      <c r="I137" s="200">
        <v>15.920244213454925</v>
      </c>
      <c r="J137" s="200">
        <v>7.6741759727964762</v>
      </c>
      <c r="K137" s="201">
        <v>43.302426514105349</v>
      </c>
      <c r="L137" s="200">
        <v>23.101203393174195</v>
      </c>
      <c r="M137" s="203">
        <v>33.596370092720456</v>
      </c>
      <c r="N137" s="434"/>
      <c r="O137" s="202">
        <v>81.021795500735863</v>
      </c>
      <c r="P137" s="200">
        <v>12.355455883383559</v>
      </c>
      <c r="Q137" s="200">
        <v>6.6227486158805799</v>
      </c>
      <c r="R137" s="201">
        <v>39.94131072709488</v>
      </c>
      <c r="S137" s="200">
        <v>18.454515813498531</v>
      </c>
      <c r="T137" s="200">
        <v>41.604173459406582</v>
      </c>
      <c r="U137" s="202">
        <v>74.060281624578153</v>
      </c>
      <c r="V137" s="200">
        <v>18.899103921796812</v>
      </c>
      <c r="W137" s="200">
        <v>7.0406144536250439</v>
      </c>
      <c r="X137" s="201">
        <v>68.8</v>
      </c>
      <c r="Y137" s="200">
        <v>14.799999999999999</v>
      </c>
      <c r="Z137" s="203">
        <v>16.400000000000002</v>
      </c>
      <c r="AA137" s="200">
        <v>61.252900232018561</v>
      </c>
      <c r="AB137" s="204">
        <v>24.295657938349354</v>
      </c>
      <c r="AC137" s="200">
        <v>14.451441829632087</v>
      </c>
      <c r="AD137" s="201">
        <v>14.627659574468085</v>
      </c>
      <c r="AE137" s="200">
        <v>55.851063829787229</v>
      </c>
      <c r="AF137" s="205">
        <v>29.521276595744684</v>
      </c>
    </row>
    <row r="138" spans="1:32" x14ac:dyDescent="0.25">
      <c r="A138" s="199" t="s">
        <v>434</v>
      </c>
      <c r="B138" s="200">
        <v>77.627573858549695</v>
      </c>
      <c r="C138" s="200">
        <v>18.227394807520142</v>
      </c>
      <c r="D138" s="200">
        <v>4.1450313339301701</v>
      </c>
      <c r="E138" s="201">
        <v>56.03455436498048</v>
      </c>
      <c r="F138" s="200">
        <v>17.758950078910207</v>
      </c>
      <c r="G138" s="200">
        <v>26.20649555610931</v>
      </c>
      <c r="H138" s="202">
        <v>79.710656316160893</v>
      </c>
      <c r="I138" s="200">
        <v>15.155257586450247</v>
      </c>
      <c r="J138" s="200">
        <v>5.1340860973888498</v>
      </c>
      <c r="K138" s="201">
        <v>50.034055305816651</v>
      </c>
      <c r="L138" s="200">
        <v>17.763247513962675</v>
      </c>
      <c r="M138" s="203">
        <v>32.202697180220682</v>
      </c>
      <c r="N138" s="434"/>
      <c r="O138" s="202">
        <v>83.335224049914913</v>
      </c>
      <c r="P138" s="200">
        <v>13.000567214974476</v>
      </c>
      <c r="Q138" s="200">
        <v>3.664208735110607</v>
      </c>
      <c r="R138" s="201">
        <v>55.671447196870929</v>
      </c>
      <c r="S138" s="200">
        <v>19.187309865275967</v>
      </c>
      <c r="T138" s="200">
        <v>25.141242937853107</v>
      </c>
      <c r="U138" s="202">
        <v>80.451377364752744</v>
      </c>
      <c r="V138" s="200">
        <v>15.748423498174576</v>
      </c>
      <c r="W138" s="200">
        <v>3.8001991370726849</v>
      </c>
      <c r="X138" s="201">
        <v>48.888888888888886</v>
      </c>
      <c r="Y138" s="200">
        <v>16.75925925925926</v>
      </c>
      <c r="Z138" s="203">
        <v>34.351851851851848</v>
      </c>
      <c r="AA138" s="200">
        <v>62.875635691169677</v>
      </c>
      <c r="AB138" s="204">
        <v>22.283865002311604</v>
      </c>
      <c r="AC138" s="200">
        <v>14.840499306518723</v>
      </c>
      <c r="AD138" s="201">
        <v>9.4991364421416229</v>
      </c>
      <c r="AE138" s="200">
        <v>10.189982728842832</v>
      </c>
      <c r="AF138" s="205">
        <v>80.310880829015545</v>
      </c>
    </row>
    <row r="139" spans="1:32" x14ac:dyDescent="0.25">
      <c r="A139" s="199" t="s">
        <v>435</v>
      </c>
      <c r="B139" s="200">
        <v>83.658661216147166</v>
      </c>
      <c r="C139" s="200">
        <v>12.580480327031172</v>
      </c>
      <c r="D139" s="200">
        <v>3.7608584568216656</v>
      </c>
      <c r="E139" s="201">
        <v>47.152577127411689</v>
      </c>
      <c r="F139" s="200">
        <v>22.956473110261907</v>
      </c>
      <c r="G139" s="200">
        <v>29.890949762326407</v>
      </c>
      <c r="H139" s="202">
        <v>86.448399441171105</v>
      </c>
      <c r="I139" s="200">
        <v>9.4393488428597454</v>
      </c>
      <c r="J139" s="200">
        <v>4.1122517159691432</v>
      </c>
      <c r="K139" s="201">
        <v>63.408404922219638</v>
      </c>
      <c r="L139" s="200">
        <v>21.012305549106106</v>
      </c>
      <c r="M139" s="203">
        <v>15.57928952867425</v>
      </c>
      <c r="N139" s="434"/>
      <c r="O139" s="202">
        <v>87.750872600349041</v>
      </c>
      <c r="P139" s="200">
        <v>9.4786212914485155</v>
      </c>
      <c r="Q139" s="200">
        <v>2.7705061082024431</v>
      </c>
      <c r="R139" s="201">
        <v>75.768115942028984</v>
      </c>
      <c r="S139" s="200">
        <v>15.420289855072463</v>
      </c>
      <c r="T139" s="200">
        <v>8.8115942028985508</v>
      </c>
      <c r="U139" s="202">
        <v>87.96964649268925</v>
      </c>
      <c r="V139" s="200">
        <v>6.6629650194336474</v>
      </c>
      <c r="W139" s="200">
        <v>5.367388487877105</v>
      </c>
      <c r="X139" s="201">
        <v>50.405996252342291</v>
      </c>
      <c r="Y139" s="200">
        <v>25.79637726420987</v>
      </c>
      <c r="Z139" s="203">
        <v>23.797626483447846</v>
      </c>
      <c r="AA139" s="200">
        <v>75.832892649391852</v>
      </c>
      <c r="AB139" s="204">
        <v>17.133791644632471</v>
      </c>
      <c r="AC139" s="200">
        <v>7.0333157059756752</v>
      </c>
      <c r="AD139" s="201">
        <v>62.857142857142854</v>
      </c>
      <c r="AE139" s="200">
        <v>23.061224489795919</v>
      </c>
      <c r="AF139" s="205">
        <v>14.081632653061224</v>
      </c>
    </row>
    <row r="140" spans="1:32" x14ac:dyDescent="0.25">
      <c r="A140" s="199" t="s">
        <v>436</v>
      </c>
      <c r="B140" s="200">
        <v>81.368444248567656</v>
      </c>
      <c r="C140" s="200">
        <v>10.698545614808285</v>
      </c>
      <c r="D140" s="200">
        <v>7.9330101366240635</v>
      </c>
      <c r="E140" s="201">
        <v>78.200692041522487</v>
      </c>
      <c r="F140" s="200">
        <v>2.9027297193387156</v>
      </c>
      <c r="G140" s="200">
        <v>18.89657823913879</v>
      </c>
      <c r="H140" s="202">
        <v>86.892702088071118</v>
      </c>
      <c r="I140" s="200">
        <v>6.1332782027427468</v>
      </c>
      <c r="J140" s="200">
        <v>6.974019709186134</v>
      </c>
      <c r="K140" s="201">
        <v>45.662100456621005</v>
      </c>
      <c r="L140" s="200">
        <v>19.710806697108065</v>
      </c>
      <c r="M140" s="203">
        <v>34.627092846270926</v>
      </c>
      <c r="N140" s="434"/>
      <c r="O140" s="202">
        <v>89.014539579967689</v>
      </c>
      <c r="P140" s="200">
        <v>4.7522886375875064</v>
      </c>
      <c r="Q140" s="200">
        <v>6.2331717824448036</v>
      </c>
      <c r="R140" s="201">
        <v>44.87025948103792</v>
      </c>
      <c r="S140" s="200">
        <v>23.193612774451097</v>
      </c>
      <c r="T140" s="200">
        <v>31.936127744510976</v>
      </c>
      <c r="U140" s="202">
        <v>87.042513863216271</v>
      </c>
      <c r="V140" s="200">
        <v>8.4842883548983359</v>
      </c>
      <c r="W140" s="200">
        <v>4.4731977818853981</v>
      </c>
      <c r="X140" s="201">
        <v>62.836879432624116</v>
      </c>
      <c r="Y140" s="200">
        <v>12.76595744680851</v>
      </c>
      <c r="Z140" s="203">
        <v>24.397163120567374</v>
      </c>
      <c r="AA140" s="200">
        <v>76.941457586618881</v>
      </c>
      <c r="AB140" s="204">
        <v>4.6594982078853047</v>
      </c>
      <c r="AC140" s="200">
        <v>18.399044205495819</v>
      </c>
      <c r="AD140" s="201">
        <v>31.787175989085949</v>
      </c>
      <c r="AE140" s="200">
        <v>14.597544338335608</v>
      </c>
      <c r="AF140" s="205">
        <v>53.615279672578438</v>
      </c>
    </row>
    <row r="141" spans="1:32" x14ac:dyDescent="0.25">
      <c r="A141" s="199" t="s">
        <v>437</v>
      </c>
      <c r="B141" s="200">
        <v>77.160125354424707</v>
      </c>
      <c r="C141" s="200">
        <v>11.237128786748245</v>
      </c>
      <c r="D141" s="200">
        <v>11.60274585882704</v>
      </c>
      <c r="E141" s="201">
        <v>58.197602950215121</v>
      </c>
      <c r="F141" s="200">
        <v>17.708973570989549</v>
      </c>
      <c r="G141" s="200">
        <v>24.09342347879533</v>
      </c>
      <c r="H141" s="202">
        <v>73.724090197078425</v>
      </c>
      <c r="I141" s="200">
        <v>14.476703945211467</v>
      </c>
      <c r="J141" s="200">
        <v>11.799205857710101</v>
      </c>
      <c r="K141" s="201">
        <v>37.928286852589643</v>
      </c>
      <c r="L141" s="200">
        <v>32.928286852589636</v>
      </c>
      <c r="M141" s="203">
        <v>29.143426294820717</v>
      </c>
      <c r="N141" s="434"/>
      <c r="O141" s="202">
        <v>67.779643502970814</v>
      </c>
      <c r="P141" s="200">
        <v>17.818393180056834</v>
      </c>
      <c r="Q141" s="200">
        <v>14.401963316972358</v>
      </c>
      <c r="R141" s="201">
        <v>42.799188640973625</v>
      </c>
      <c r="S141" s="200">
        <v>27.261663286004058</v>
      </c>
      <c r="T141" s="200">
        <v>29.939148073022317</v>
      </c>
      <c r="U141" s="202">
        <v>80.10555300596603</v>
      </c>
      <c r="V141" s="200">
        <v>12.895823772372648</v>
      </c>
      <c r="W141" s="200">
        <v>6.9986232216613127</v>
      </c>
      <c r="X141" s="201">
        <v>50.843373493975911</v>
      </c>
      <c r="Y141" s="200">
        <v>33.012048192771083</v>
      </c>
      <c r="Z141" s="203">
        <v>16.14457831325301</v>
      </c>
      <c r="AA141" s="200">
        <v>84.901599015990158</v>
      </c>
      <c r="AB141" s="204">
        <v>2.7982779827798279</v>
      </c>
      <c r="AC141" s="200">
        <v>12.300123001230013</v>
      </c>
      <c r="AD141" s="201">
        <v>16.564885496183209</v>
      </c>
      <c r="AE141" s="200">
        <v>43.435114503816799</v>
      </c>
      <c r="AF141" s="205">
        <v>40</v>
      </c>
    </row>
    <row r="142" spans="1:32" x14ac:dyDescent="0.25">
      <c r="A142" s="199" t="s">
        <v>438</v>
      </c>
      <c r="B142" s="200">
        <v>76.829070751066396</v>
      </c>
      <c r="C142" s="200">
        <v>15.732258238692609</v>
      </c>
      <c r="D142" s="200">
        <v>7.4386710102409968</v>
      </c>
      <c r="E142" s="201">
        <v>53.201083258848172</v>
      </c>
      <c r="F142" s="200">
        <v>20.393815285689509</v>
      </c>
      <c r="G142" s="200">
        <v>26.405101455462322</v>
      </c>
      <c r="H142" s="202">
        <v>76.667779161264647</v>
      </c>
      <c r="I142" s="200">
        <v>13.76326970719998</v>
      </c>
      <c r="J142" s="200">
        <v>9.5689511315353712</v>
      </c>
      <c r="K142" s="201">
        <v>47.649030161470499</v>
      </c>
      <c r="L142" s="200">
        <v>26.691716597271586</v>
      </c>
      <c r="M142" s="203">
        <v>25.659253241257911</v>
      </c>
      <c r="N142" s="434"/>
      <c r="O142" s="202">
        <v>76.405482342855251</v>
      </c>
      <c r="P142" s="200">
        <v>14.400492399679059</v>
      </c>
      <c r="Q142" s="200">
        <v>9.1940252574656807</v>
      </c>
      <c r="R142" s="201">
        <v>49.032409858243632</v>
      </c>
      <c r="S142" s="200">
        <v>25.474972060467032</v>
      </c>
      <c r="T142" s="200">
        <v>25.492618081289336</v>
      </c>
      <c r="U142" s="202">
        <v>77.700326149517167</v>
      </c>
      <c r="V142" s="200">
        <v>12.832811067766622</v>
      </c>
      <c r="W142" s="200">
        <v>9.4668627827162073</v>
      </c>
      <c r="X142" s="201">
        <v>56.204272753877675</v>
      </c>
      <c r="Y142" s="200">
        <v>29.777582674860991</v>
      </c>
      <c r="Z142" s="203">
        <v>14.01814457126134</v>
      </c>
      <c r="AA142" s="200">
        <v>75.295891022778022</v>
      </c>
      <c r="AB142" s="204">
        <v>12.963376507369361</v>
      </c>
      <c r="AC142" s="200">
        <v>11.740732469852613</v>
      </c>
      <c r="AD142" s="201">
        <v>33.29828250963898</v>
      </c>
      <c r="AE142" s="200">
        <v>26.621100595864</v>
      </c>
      <c r="AF142" s="205">
        <v>40.080616894497027</v>
      </c>
    </row>
    <row r="143" spans="1:32" x14ac:dyDescent="0.25">
      <c r="A143" s="199" t="s">
        <v>439</v>
      </c>
      <c r="B143" s="200">
        <v>63.607517695875025</v>
      </c>
      <c r="C143" s="200">
        <v>19.5508908957774</v>
      </c>
      <c r="D143" s="200">
        <v>16.841591408347572</v>
      </c>
      <c r="E143" s="201">
        <v>47.845271363435799</v>
      </c>
      <c r="F143" s="200">
        <v>25.018385056625974</v>
      </c>
      <c r="G143" s="200">
        <v>27.136343579938227</v>
      </c>
      <c r="H143" s="202">
        <v>71.536452418805368</v>
      </c>
      <c r="I143" s="200">
        <v>13.996138996138995</v>
      </c>
      <c r="J143" s="200">
        <v>14.467408585055644</v>
      </c>
      <c r="K143" s="201">
        <v>37.246401942084276</v>
      </c>
      <c r="L143" s="200">
        <v>32.02705045951101</v>
      </c>
      <c r="M143" s="203">
        <v>30.726547598404718</v>
      </c>
      <c r="N143" s="434"/>
      <c r="O143" s="202">
        <v>65.996270644645719</v>
      </c>
      <c r="P143" s="200">
        <v>18.700053276505059</v>
      </c>
      <c r="Q143" s="200">
        <v>15.303676078849227</v>
      </c>
      <c r="R143" s="201">
        <v>37.914145779314318</v>
      </c>
      <c r="S143" s="200">
        <v>31.374243733794295</v>
      </c>
      <c r="T143" s="200">
        <v>30.711610486891384</v>
      </c>
      <c r="U143" s="202">
        <v>74.173773987206829</v>
      </c>
      <c r="V143" s="200">
        <v>13.339552238805972</v>
      </c>
      <c r="W143" s="200">
        <v>12.486673773987206</v>
      </c>
      <c r="X143" s="201">
        <v>32.204665161775772</v>
      </c>
      <c r="Y143" s="200">
        <v>56.433408577878112</v>
      </c>
      <c r="Z143" s="203">
        <v>11.361926260346126</v>
      </c>
      <c r="AA143" s="200">
        <v>79.930795847750872</v>
      </c>
      <c r="AB143" s="204">
        <v>2.306805074971165</v>
      </c>
      <c r="AC143" s="200">
        <v>17.762399077277973</v>
      </c>
      <c r="AD143" s="201">
        <v>41.718426501035196</v>
      </c>
      <c r="AE143" s="200">
        <v>0.82815734989648038</v>
      </c>
      <c r="AF143" s="205">
        <v>57.453416149068325</v>
      </c>
    </row>
    <row r="144" spans="1:32" x14ac:dyDescent="0.25">
      <c r="A144" s="199" t="s">
        <v>440</v>
      </c>
      <c r="B144" s="200">
        <v>74.307090630845096</v>
      </c>
      <c r="C144" s="200">
        <v>13.569120897806494</v>
      </c>
      <c r="D144" s="200">
        <v>12.12378847134841</v>
      </c>
      <c r="E144" s="201">
        <v>66.096593241209462</v>
      </c>
      <c r="F144" s="200">
        <v>15.159392529757834</v>
      </c>
      <c r="G144" s="200">
        <v>18.7440142290327</v>
      </c>
      <c r="H144" s="202">
        <v>80.41336681475758</v>
      </c>
      <c r="I144" s="200">
        <v>12.091945141974117</v>
      </c>
      <c r="J144" s="200">
        <v>7.4946880432683018</v>
      </c>
      <c r="K144" s="201">
        <v>65.733270052206933</v>
      </c>
      <c r="L144" s="200">
        <v>14.451827242524917</v>
      </c>
      <c r="M144" s="203">
        <v>19.814902705268153</v>
      </c>
      <c r="N144" s="434"/>
      <c r="O144" s="202">
        <v>82.711457708458312</v>
      </c>
      <c r="P144" s="200">
        <v>11.925614877024596</v>
      </c>
      <c r="Q144" s="200">
        <v>5.3629274145170962</v>
      </c>
      <c r="R144" s="201">
        <v>61.854304635761594</v>
      </c>
      <c r="S144" s="200">
        <v>20.309050772626932</v>
      </c>
      <c r="T144" s="200">
        <v>17.836644591611478</v>
      </c>
      <c r="U144" s="202">
        <v>80.183839247541684</v>
      </c>
      <c r="V144" s="200">
        <v>13.659683625480975</v>
      </c>
      <c r="W144" s="200">
        <v>6.1564771269773413</v>
      </c>
      <c r="X144" s="201">
        <v>66.296809986130384</v>
      </c>
      <c r="Y144" s="200">
        <v>7.6976421636615804</v>
      </c>
      <c r="Z144" s="203">
        <v>26.005547850208043</v>
      </c>
      <c r="AA144" s="200">
        <v>73.174603174603163</v>
      </c>
      <c r="AB144" s="204">
        <v>9.7619047619047628</v>
      </c>
      <c r="AC144" s="200">
        <v>17.063492063492063</v>
      </c>
      <c r="AD144" s="201">
        <v>81.2992125984252</v>
      </c>
      <c r="AE144" s="200">
        <v>7.4803149606299222</v>
      </c>
      <c r="AF144" s="205">
        <v>11.220472440944881</v>
      </c>
    </row>
    <row r="145" spans="1:32" x14ac:dyDescent="0.25">
      <c r="A145" s="199" t="s">
        <v>441</v>
      </c>
      <c r="B145" s="200">
        <v>74.225719881047354</v>
      </c>
      <c r="C145" s="200">
        <v>19.56915935301371</v>
      </c>
      <c r="D145" s="200">
        <v>6.2051207659389274</v>
      </c>
      <c r="E145" s="201">
        <v>52.553630363036305</v>
      </c>
      <c r="F145" s="200">
        <v>23.296204620462046</v>
      </c>
      <c r="G145" s="200">
        <v>24.150165016501653</v>
      </c>
      <c r="H145" s="202">
        <v>75.03297362110311</v>
      </c>
      <c r="I145" s="200">
        <v>17.452038369304557</v>
      </c>
      <c r="J145" s="200">
        <v>7.5149880095923258</v>
      </c>
      <c r="K145" s="201">
        <v>59.886937695453454</v>
      </c>
      <c r="L145" s="200">
        <v>23.286023574693289</v>
      </c>
      <c r="M145" s="203">
        <v>16.82703872985326</v>
      </c>
      <c r="N145" s="434"/>
      <c r="O145" s="202">
        <v>75.020379050336246</v>
      </c>
      <c r="P145" s="200">
        <v>17.770531893213775</v>
      </c>
      <c r="Q145" s="200">
        <v>7.2090890564499688</v>
      </c>
      <c r="R145" s="201">
        <v>67.978817299205645</v>
      </c>
      <c r="S145" s="200">
        <v>22.559576345984116</v>
      </c>
      <c r="T145" s="200">
        <v>9.4616063548102378</v>
      </c>
      <c r="U145" s="202">
        <v>75.274524158125914</v>
      </c>
      <c r="V145" s="200">
        <v>17.789165446559295</v>
      </c>
      <c r="W145" s="200">
        <v>6.9363103953147878</v>
      </c>
      <c r="X145" s="201">
        <v>47.213622291021672</v>
      </c>
      <c r="Y145" s="200">
        <v>21.362229102167181</v>
      </c>
      <c r="Z145" s="203">
        <v>31.424148606811148</v>
      </c>
      <c r="AA145" s="200">
        <v>74.188948306595364</v>
      </c>
      <c r="AB145" s="204">
        <v>13.939393939393941</v>
      </c>
      <c r="AC145" s="200">
        <v>11.871657754010695</v>
      </c>
      <c r="AD145" s="201">
        <v>38.217967599410898</v>
      </c>
      <c r="AE145" s="200">
        <v>28.12960235640648</v>
      </c>
      <c r="AF145" s="205">
        <v>33.652430044182623</v>
      </c>
    </row>
    <row r="146" spans="1:32" x14ac:dyDescent="0.25">
      <c r="A146" s="199" t="s">
        <v>442</v>
      </c>
      <c r="B146" s="200">
        <v>83.065874634276099</v>
      </c>
      <c r="C146" s="200">
        <v>11.112096226024766</v>
      </c>
      <c r="D146" s="200">
        <v>5.8220291396991461</v>
      </c>
      <c r="E146" s="201">
        <v>58.986558820030929</v>
      </c>
      <c r="F146" s="200">
        <v>19.543237778042108</v>
      </c>
      <c r="G146" s="200">
        <v>21.470203401926966</v>
      </c>
      <c r="H146" s="202">
        <v>77.927612492747244</v>
      </c>
      <c r="I146" s="200">
        <v>14.079350153058162</v>
      </c>
      <c r="J146" s="200">
        <v>7.9930373541945947</v>
      </c>
      <c r="K146" s="201">
        <v>45.466723068245912</v>
      </c>
      <c r="L146" s="200">
        <v>26.720248166948675</v>
      </c>
      <c r="M146" s="203">
        <v>27.813028764805413</v>
      </c>
      <c r="N146" s="434"/>
      <c r="O146" s="202">
        <v>80.310654857756305</v>
      </c>
      <c r="P146" s="200">
        <v>11.570719269994632</v>
      </c>
      <c r="Q146" s="200">
        <v>8.1186258722490603</v>
      </c>
      <c r="R146" s="201">
        <v>51.207795772714789</v>
      </c>
      <c r="S146" s="200">
        <v>26.077408729069447</v>
      </c>
      <c r="T146" s="200">
        <v>22.714795498215757</v>
      </c>
      <c r="U146" s="202">
        <v>76.271413276231257</v>
      </c>
      <c r="V146" s="200">
        <v>17.358137044967879</v>
      </c>
      <c r="W146" s="200">
        <v>6.3704496788008562</v>
      </c>
      <c r="X146" s="201">
        <v>49.001751313485116</v>
      </c>
      <c r="Y146" s="200">
        <v>27.390542907180386</v>
      </c>
      <c r="Z146" s="203">
        <v>23.607705779334502</v>
      </c>
      <c r="AA146" s="200">
        <v>69.07630522088354</v>
      </c>
      <c r="AB146" s="204">
        <v>19.009370816599734</v>
      </c>
      <c r="AC146" s="200">
        <v>11.914323962516733</v>
      </c>
      <c r="AD146" s="201">
        <v>32.624288894385359</v>
      </c>
      <c r="AE146" s="200">
        <v>27.405392035617115</v>
      </c>
      <c r="AF146" s="205">
        <v>39.970319069997529</v>
      </c>
    </row>
    <row r="147" spans="1:32" x14ac:dyDescent="0.25">
      <c r="A147" s="199" t="s">
        <v>443</v>
      </c>
      <c r="B147" s="200">
        <v>73.142937733587203</v>
      </c>
      <c r="C147" s="200">
        <v>16.561596502362317</v>
      </c>
      <c r="D147" s="200">
        <v>10.295465764050491</v>
      </c>
      <c r="E147" s="201">
        <v>55.753285577302726</v>
      </c>
      <c r="F147" s="200">
        <v>19.688081674093294</v>
      </c>
      <c r="G147" s="200">
        <v>24.55863274860398</v>
      </c>
      <c r="H147" s="202">
        <v>74.993400492195548</v>
      </c>
      <c r="I147" s="200">
        <v>14.126352899099912</v>
      </c>
      <c r="J147" s="200">
        <v>10.880246608704539</v>
      </c>
      <c r="K147" s="201">
        <v>50.774985038898869</v>
      </c>
      <c r="L147" s="200">
        <v>23.339317773788153</v>
      </c>
      <c r="M147" s="203">
        <v>25.885697187312985</v>
      </c>
      <c r="N147" s="434"/>
      <c r="O147" s="202">
        <v>74.164845702787247</v>
      </c>
      <c r="P147" s="200">
        <v>15.467450598166984</v>
      </c>
      <c r="Q147" s="200">
        <v>10.367703699045762</v>
      </c>
      <c r="R147" s="201">
        <v>53.898370830100852</v>
      </c>
      <c r="S147" s="200">
        <v>24.946664080682702</v>
      </c>
      <c r="T147" s="200">
        <v>21.154965089216446</v>
      </c>
      <c r="U147" s="202">
        <v>78.727590192558353</v>
      </c>
      <c r="V147" s="200">
        <v>11.039519956717408</v>
      </c>
      <c r="W147" s="200">
        <v>10.232889850724245</v>
      </c>
      <c r="X147" s="201">
        <v>51.778268334559726</v>
      </c>
      <c r="Y147" s="200">
        <v>23.301447142506746</v>
      </c>
      <c r="Z147" s="203">
        <v>24.920284522933532</v>
      </c>
      <c r="AA147" s="200">
        <v>67.456880176278403</v>
      </c>
      <c r="AB147" s="204">
        <v>17.179545627231974</v>
      </c>
      <c r="AC147" s="200">
        <v>15.36357419648963</v>
      </c>
      <c r="AD147" s="201">
        <v>35.157259801809566</v>
      </c>
      <c r="AE147" s="200">
        <v>16.242998707453683</v>
      </c>
      <c r="AF147" s="205">
        <v>48.599741490736754</v>
      </c>
    </row>
    <row r="148" spans="1:32" x14ac:dyDescent="0.25">
      <c r="A148" s="199" t="s">
        <v>444</v>
      </c>
      <c r="B148" s="200">
        <v>77.200188539492288</v>
      </c>
      <c r="C148" s="200">
        <v>13.359369739411486</v>
      </c>
      <c r="D148" s="200">
        <v>9.4404417210962226</v>
      </c>
      <c r="E148" s="201">
        <v>47.387464498307594</v>
      </c>
      <c r="F148" s="200">
        <v>15.114967124460179</v>
      </c>
      <c r="G148" s="200">
        <v>37.497568377232234</v>
      </c>
      <c r="H148" s="202">
        <v>74.062895531107003</v>
      </c>
      <c r="I148" s="200">
        <v>13.431019374939149</v>
      </c>
      <c r="J148" s="200">
        <v>12.50608509395385</v>
      </c>
      <c r="K148" s="201">
        <v>55.615962984384041</v>
      </c>
      <c r="L148" s="200">
        <v>23.921341816078659</v>
      </c>
      <c r="M148" s="203">
        <v>20.462695199537304</v>
      </c>
      <c r="N148" s="434"/>
      <c r="O148" s="202">
        <v>75.279524807826689</v>
      </c>
      <c r="P148" s="200">
        <v>12.473794549266247</v>
      </c>
      <c r="Q148" s="200">
        <v>12.246680642907059</v>
      </c>
      <c r="R148" s="201">
        <v>47.599494630448511</v>
      </c>
      <c r="S148" s="200">
        <v>26.989892608970312</v>
      </c>
      <c r="T148" s="200">
        <v>25.410612760581174</v>
      </c>
      <c r="U148" s="202">
        <v>71.563585823488523</v>
      </c>
      <c r="V148" s="200">
        <v>14.67685892981237</v>
      </c>
      <c r="W148" s="200">
        <v>13.759555246699096</v>
      </c>
      <c r="X148" s="201">
        <v>75.365344467640909</v>
      </c>
      <c r="Y148" s="200">
        <v>18.928322894919972</v>
      </c>
      <c r="Z148" s="203">
        <v>5.7063326374391092</v>
      </c>
      <c r="AA148" s="200">
        <v>76.19799894681411</v>
      </c>
      <c r="AB148" s="204">
        <v>14.481305950500264</v>
      </c>
      <c r="AC148" s="200">
        <v>9.3206951026856242</v>
      </c>
      <c r="AD148" s="201">
        <v>81.164383561643831</v>
      </c>
      <c r="AE148" s="200">
        <v>9.9315068493150687</v>
      </c>
      <c r="AF148" s="205">
        <v>8.9041095890410951</v>
      </c>
    </row>
    <row r="149" spans="1:32" x14ac:dyDescent="0.25">
      <c r="A149" s="199" t="s">
        <v>445</v>
      </c>
      <c r="B149" s="200">
        <v>75.816170296834102</v>
      </c>
      <c r="C149" s="200">
        <v>13.787227737442583</v>
      </c>
      <c r="D149" s="200">
        <v>10.396601965723317</v>
      </c>
      <c r="E149" s="201">
        <v>56.821040929171176</v>
      </c>
      <c r="F149" s="200">
        <v>17.935402709107397</v>
      </c>
      <c r="G149" s="200">
        <v>25.243556361721424</v>
      </c>
      <c r="H149" s="202">
        <v>80.639915227421582</v>
      </c>
      <c r="I149" s="200">
        <v>10.749633903144385</v>
      </c>
      <c r="J149" s="200">
        <v>8.6104508694340396</v>
      </c>
      <c r="K149" s="201">
        <v>53.405634934297353</v>
      </c>
      <c r="L149" s="200">
        <v>19.317725368680783</v>
      </c>
      <c r="M149" s="203">
        <v>27.276639697021864</v>
      </c>
      <c r="N149" s="434"/>
      <c r="O149" s="202">
        <v>80.888354310752177</v>
      </c>
      <c r="P149" s="200">
        <v>10.464367026075003</v>
      </c>
      <c r="Q149" s="200">
        <v>8.6472786631728162</v>
      </c>
      <c r="R149" s="201">
        <v>52.977568096848849</v>
      </c>
      <c r="S149" s="200">
        <v>20.015132633078156</v>
      </c>
      <c r="T149" s="200">
        <v>27.007299270072991</v>
      </c>
      <c r="U149" s="202">
        <v>79.63472307418327</v>
      </c>
      <c r="V149" s="200">
        <v>10.770326691335061</v>
      </c>
      <c r="W149" s="200">
        <v>9.5949502344816668</v>
      </c>
      <c r="X149" s="201">
        <v>49.127799084498328</v>
      </c>
      <c r="Y149" s="200">
        <v>18.074972163800567</v>
      </c>
      <c r="Z149" s="203">
        <v>32.797228751701098</v>
      </c>
      <c r="AA149" s="200">
        <v>82.795283201237197</v>
      </c>
      <c r="AB149" s="204">
        <v>11.965977189251884</v>
      </c>
      <c r="AC149" s="200">
        <v>5.2387396095109224</v>
      </c>
      <c r="AD149" s="201">
        <v>63.691306369130643</v>
      </c>
      <c r="AE149" s="200">
        <v>18.014876801487681</v>
      </c>
      <c r="AF149" s="205">
        <v>18.293816829381683</v>
      </c>
    </row>
    <row r="150" spans="1:32" x14ac:dyDescent="0.25">
      <c r="A150" s="199" t="s">
        <v>446</v>
      </c>
      <c r="B150" s="200">
        <v>69.02143301811283</v>
      </c>
      <c r="C150" s="200">
        <v>22.520973527406397</v>
      </c>
      <c r="D150" s="200">
        <v>8.4575934544807758</v>
      </c>
      <c r="E150" s="201">
        <v>45.185586716498818</v>
      </c>
      <c r="F150" s="200">
        <v>22.053579070497275</v>
      </c>
      <c r="G150" s="200">
        <v>32.760834213003911</v>
      </c>
      <c r="H150" s="202">
        <v>78.251899735240514</v>
      </c>
      <c r="I150" s="200">
        <v>12.514183543650931</v>
      </c>
      <c r="J150" s="200">
        <v>9.2339167211085513</v>
      </c>
      <c r="K150" s="201">
        <v>51.804982016784336</v>
      </c>
      <c r="L150" s="200">
        <v>24.916744371919542</v>
      </c>
      <c r="M150" s="203">
        <v>23.278273611296125</v>
      </c>
      <c r="N150" s="434"/>
      <c r="O150" s="202">
        <v>78.809218950064022</v>
      </c>
      <c r="P150" s="200">
        <v>12.644046094750319</v>
      </c>
      <c r="Q150" s="200">
        <v>8.5467349551856593</v>
      </c>
      <c r="R150" s="201">
        <v>51.956789538519857</v>
      </c>
      <c r="S150" s="200">
        <v>30.275750971287785</v>
      </c>
      <c r="T150" s="200">
        <v>17.767459490192362</v>
      </c>
      <c r="U150" s="202">
        <v>77.406754632496543</v>
      </c>
      <c r="V150" s="200">
        <v>12.699471252322203</v>
      </c>
      <c r="W150" s="200">
        <v>9.8937741151812499</v>
      </c>
      <c r="X150" s="201">
        <v>57.332041343669246</v>
      </c>
      <c r="Y150" s="200">
        <v>3.3591731266149871</v>
      </c>
      <c r="Z150" s="203">
        <v>39.308785529715763</v>
      </c>
      <c r="AA150" s="200">
        <v>78.307770099443786</v>
      </c>
      <c r="AB150" s="204">
        <v>11.174785100286533</v>
      </c>
      <c r="AC150" s="200">
        <v>10.517444800269677</v>
      </c>
      <c r="AD150" s="201">
        <v>38.095238095238095</v>
      </c>
      <c r="AE150" s="200">
        <v>32.38095238095238</v>
      </c>
      <c r="AF150" s="205">
        <v>29.523809523809526</v>
      </c>
    </row>
    <row r="151" spans="1:32" x14ac:dyDescent="0.25">
      <c r="A151" s="199" t="s">
        <v>447</v>
      </c>
      <c r="B151" s="200">
        <v>67.161372909832778</v>
      </c>
      <c r="C151" s="200">
        <v>21.829746379710375</v>
      </c>
      <c r="D151" s="200">
        <v>11.008880710456836</v>
      </c>
      <c r="E151" s="201">
        <v>56.689554723262589</v>
      </c>
      <c r="F151" s="200">
        <v>17.993133583021223</v>
      </c>
      <c r="G151" s="200">
        <v>25.317311693716189</v>
      </c>
      <c r="H151" s="202">
        <v>75.217665615141954</v>
      </c>
      <c r="I151" s="200">
        <v>14.988012618296532</v>
      </c>
      <c r="J151" s="200">
        <v>9.7943217665615148</v>
      </c>
      <c r="K151" s="201">
        <v>66.901255169411584</v>
      </c>
      <c r="L151" s="200">
        <v>17.173329463832257</v>
      </c>
      <c r="M151" s="203">
        <v>15.925415366756148</v>
      </c>
      <c r="N151" s="434"/>
      <c r="O151" s="202">
        <v>76.506479992432133</v>
      </c>
      <c r="P151" s="200">
        <v>13.764071516412827</v>
      </c>
      <c r="Q151" s="200">
        <v>9.729448491155047</v>
      </c>
      <c r="R151" s="201">
        <v>67.836855260168136</v>
      </c>
      <c r="S151" s="200">
        <v>13.371960917973189</v>
      </c>
      <c r="T151" s="200">
        <v>18.791183821858667</v>
      </c>
      <c r="U151" s="202">
        <v>77.172036823935571</v>
      </c>
      <c r="V151" s="200">
        <v>15.110759493670885</v>
      </c>
      <c r="W151" s="200">
        <v>7.7172036823935555</v>
      </c>
      <c r="X151" s="201">
        <v>67.771883289124673</v>
      </c>
      <c r="Y151" s="200">
        <v>18.136604774535808</v>
      </c>
      <c r="Z151" s="203">
        <v>14.091511936339524</v>
      </c>
      <c r="AA151" s="200">
        <v>63.332605372352049</v>
      </c>
      <c r="AB151" s="204">
        <v>20.244594889713909</v>
      </c>
      <c r="AC151" s="200">
        <v>16.422799737934046</v>
      </c>
      <c r="AD151" s="201">
        <v>61.342828077314351</v>
      </c>
      <c r="AE151" s="200">
        <v>32.756866734486266</v>
      </c>
      <c r="AF151" s="205">
        <v>5.9003051881993898</v>
      </c>
    </row>
    <row r="152" spans="1:32" x14ac:dyDescent="0.25">
      <c r="A152" s="199" t="s">
        <v>448</v>
      </c>
      <c r="B152" s="200">
        <v>73.814170555791264</v>
      </c>
      <c r="C152" s="200">
        <v>9.92787441663131</v>
      </c>
      <c r="D152" s="200">
        <v>16.257955027577427</v>
      </c>
      <c r="E152" s="201">
        <v>57.738530671961541</v>
      </c>
      <c r="F152" s="200">
        <v>16.187689413731842</v>
      </c>
      <c r="G152" s="200">
        <v>26.073779914306616</v>
      </c>
      <c r="H152" s="202">
        <v>76.425475158386121</v>
      </c>
      <c r="I152" s="200">
        <v>8.5917528064910531</v>
      </c>
      <c r="J152" s="200">
        <v>14.982772035122819</v>
      </c>
      <c r="K152" s="201">
        <v>58.74183006535948</v>
      </c>
      <c r="L152" s="200">
        <v>19.321895424836601</v>
      </c>
      <c r="M152" s="203">
        <v>21.936274509803923</v>
      </c>
      <c r="N152" s="434"/>
      <c r="O152" s="202">
        <v>74.126637554585145</v>
      </c>
      <c r="P152" s="200">
        <v>7.1397379912663759</v>
      </c>
      <c r="Q152" s="200">
        <v>18.733624454148469</v>
      </c>
      <c r="R152" s="201">
        <v>53.719239373601788</v>
      </c>
      <c r="S152" s="200">
        <v>16.247203579418347</v>
      </c>
      <c r="T152" s="200">
        <v>30.033557046979865</v>
      </c>
      <c r="U152" s="202">
        <v>72.869166029074222</v>
      </c>
      <c r="V152" s="200">
        <v>12.945677123182861</v>
      </c>
      <c r="W152" s="200">
        <v>14.185156847742922</v>
      </c>
      <c r="X152" s="201">
        <v>89.3</v>
      </c>
      <c r="Y152" s="200">
        <v>10.7</v>
      </c>
      <c r="Z152" s="203">
        <v>0</v>
      </c>
      <c r="AA152" s="200">
        <v>95.735422106179286</v>
      </c>
      <c r="AB152" s="204">
        <v>1.95822454308094</v>
      </c>
      <c r="AC152" s="200">
        <v>2.3063533507397738</v>
      </c>
      <c r="AD152" s="201">
        <v>19.375</v>
      </c>
      <c r="AE152" s="200">
        <v>80.625</v>
      </c>
      <c r="AF152" s="205">
        <v>0</v>
      </c>
    </row>
    <row r="153" spans="1:32" x14ac:dyDescent="0.25">
      <c r="A153" s="199" t="s">
        <v>449</v>
      </c>
      <c r="B153" s="200">
        <v>70.008334325514937</v>
      </c>
      <c r="C153" s="200">
        <v>15.692344326705559</v>
      </c>
      <c r="D153" s="200">
        <v>14.299321347779498</v>
      </c>
      <c r="E153" s="201">
        <v>51.122211122211127</v>
      </c>
      <c r="F153" s="200">
        <v>28.391608391608393</v>
      </c>
      <c r="G153" s="200">
        <v>20.486180486180487</v>
      </c>
      <c r="H153" s="202">
        <v>70.438267394270127</v>
      </c>
      <c r="I153" s="200">
        <v>14.819236016371079</v>
      </c>
      <c r="J153" s="200">
        <v>14.742496589358801</v>
      </c>
      <c r="K153" s="201">
        <v>69.010317157050054</v>
      </c>
      <c r="L153" s="200">
        <v>14.539549102025221</v>
      </c>
      <c r="M153" s="203">
        <v>16.45013374092472</v>
      </c>
      <c r="N153" s="434"/>
      <c r="O153" s="202">
        <v>66.953581309560406</v>
      </c>
      <c r="P153" s="200">
        <v>16.60006148170919</v>
      </c>
      <c r="Q153" s="200">
        <v>16.446357208730404</v>
      </c>
      <c r="R153" s="201">
        <v>74.050179211469541</v>
      </c>
      <c r="S153" s="200">
        <v>12.258064516129032</v>
      </c>
      <c r="T153" s="200">
        <v>13.691756272401435</v>
      </c>
      <c r="U153" s="202">
        <v>68.66630958757365</v>
      </c>
      <c r="V153" s="200">
        <v>15.211569362613819</v>
      </c>
      <c r="W153" s="200">
        <v>16.122121049812531</v>
      </c>
      <c r="X153" s="201">
        <v>50.06702412868632</v>
      </c>
      <c r="Y153" s="200">
        <v>28.083109919571047</v>
      </c>
      <c r="Z153" s="203">
        <v>21.849865951742629</v>
      </c>
      <c r="AA153" s="200">
        <v>90.120967741935488</v>
      </c>
      <c r="AB153" s="204">
        <v>6.0483870967741939</v>
      </c>
      <c r="AC153" s="200">
        <v>3.8306451612903225</v>
      </c>
      <c r="AD153" s="201">
        <v>83.928571428571431</v>
      </c>
      <c r="AE153" s="200">
        <v>0</v>
      </c>
      <c r="AF153" s="205">
        <v>16.071428571428573</v>
      </c>
    </row>
    <row r="154" spans="1:32" x14ac:dyDescent="0.25">
      <c r="A154" s="199" t="s">
        <v>450</v>
      </c>
      <c r="B154" s="200">
        <v>75.010364281980571</v>
      </c>
      <c r="C154" s="200">
        <v>18.670127435606265</v>
      </c>
      <c r="D154" s="200">
        <v>6.3195082824131648</v>
      </c>
      <c r="E154" s="201">
        <v>60.118486277354613</v>
      </c>
      <c r="F154" s="200">
        <v>18.396808124773305</v>
      </c>
      <c r="G154" s="200">
        <v>21.484705597872082</v>
      </c>
      <c r="H154" s="202">
        <v>78.13185448826718</v>
      </c>
      <c r="I154" s="200">
        <v>14.090758597856226</v>
      </c>
      <c r="J154" s="200">
        <v>7.7773869138765885</v>
      </c>
      <c r="K154" s="201">
        <v>47.261815453863463</v>
      </c>
      <c r="L154" s="200">
        <v>29.437359339834956</v>
      </c>
      <c r="M154" s="203">
        <v>23.300825206301575</v>
      </c>
      <c r="N154" s="434"/>
      <c r="O154" s="202">
        <v>76.007963268527163</v>
      </c>
      <c r="P154" s="200">
        <v>15.815338259559509</v>
      </c>
      <c r="Q154" s="200">
        <v>8.1766984719133369</v>
      </c>
      <c r="R154" s="201">
        <v>49.137808180133966</v>
      </c>
      <c r="S154" s="200">
        <v>26.321789938720251</v>
      </c>
      <c r="T154" s="200">
        <v>24.540401881145787</v>
      </c>
      <c r="U154" s="202">
        <v>85.322354709761186</v>
      </c>
      <c r="V154" s="200">
        <v>7.239741706242099</v>
      </c>
      <c r="W154" s="200">
        <v>7.4379035839967207</v>
      </c>
      <c r="X154" s="201">
        <v>42.750207929026892</v>
      </c>
      <c r="Y154" s="200">
        <v>40.629331854726921</v>
      </c>
      <c r="Z154" s="203">
        <v>16.620460216246187</v>
      </c>
      <c r="AA154" s="200">
        <v>70.215876838393399</v>
      </c>
      <c r="AB154" s="204">
        <v>23.066999225939625</v>
      </c>
      <c r="AC154" s="200">
        <v>6.717123935666983</v>
      </c>
      <c r="AD154" s="201">
        <v>48.410938654841097</v>
      </c>
      <c r="AE154" s="200">
        <v>22.597930524759793</v>
      </c>
      <c r="AF154" s="205">
        <v>28.991130820399114</v>
      </c>
    </row>
    <row r="155" spans="1:32" x14ac:dyDescent="0.25">
      <c r="A155" s="199" t="s">
        <v>451</v>
      </c>
      <c r="B155" s="200">
        <v>68.049672699268385</v>
      </c>
      <c r="C155" s="200">
        <v>19.175972275702733</v>
      </c>
      <c r="D155" s="200">
        <v>12.77435502502888</v>
      </c>
      <c r="E155" s="201">
        <v>48.204914618908788</v>
      </c>
      <c r="F155" s="200">
        <v>13.13619325281133</v>
      </c>
      <c r="G155" s="200">
        <v>38.658892128279881</v>
      </c>
      <c r="H155" s="202">
        <v>81.533253248880627</v>
      </c>
      <c r="I155" s="200">
        <v>10.068799825270284</v>
      </c>
      <c r="J155" s="200">
        <v>8.3979469258490766</v>
      </c>
      <c r="K155" s="201">
        <v>48.181224134175558</v>
      </c>
      <c r="L155" s="200">
        <v>22.740143759529513</v>
      </c>
      <c r="M155" s="203">
        <v>29.078632106294926</v>
      </c>
      <c r="N155" s="434"/>
      <c r="O155" s="202">
        <v>84.534092063814654</v>
      </c>
      <c r="P155" s="200">
        <v>8.444263794329844</v>
      </c>
      <c r="Q155" s="200">
        <v>7.0216441418555027</v>
      </c>
      <c r="R155" s="201">
        <v>53.385772913816687</v>
      </c>
      <c r="S155" s="200">
        <v>20.725034199726402</v>
      </c>
      <c r="T155" s="200">
        <v>25.889192886456907</v>
      </c>
      <c r="U155" s="202">
        <v>77.65211850907933</v>
      </c>
      <c r="V155" s="200">
        <v>13.555272379738771</v>
      </c>
      <c r="W155" s="200">
        <v>8.7926091111819051</v>
      </c>
      <c r="X155" s="201">
        <v>71.108343711083435</v>
      </c>
      <c r="Y155" s="200">
        <v>7.7210460772104614</v>
      </c>
      <c r="Z155" s="203">
        <v>21.170610211706105</v>
      </c>
      <c r="AA155" s="200">
        <v>79.179954441913438</v>
      </c>
      <c r="AB155" s="204">
        <v>7.3804100227790439</v>
      </c>
      <c r="AC155" s="200">
        <v>13.439635535307518</v>
      </c>
      <c r="AD155" s="201">
        <v>9.2592592592592595</v>
      </c>
      <c r="AE155" s="200">
        <v>43.518518518518519</v>
      </c>
      <c r="AF155" s="205">
        <v>47.222222222222221</v>
      </c>
    </row>
    <row r="156" spans="1:32" x14ac:dyDescent="0.25">
      <c r="A156" s="199" t="s">
        <v>452</v>
      </c>
      <c r="B156" s="200">
        <v>69.968386868921797</v>
      </c>
      <c r="C156" s="200">
        <v>21.463334797701801</v>
      </c>
      <c r="D156" s="200">
        <v>8.5682783333764032</v>
      </c>
      <c r="E156" s="201">
        <v>54.109803329269738</v>
      </c>
      <c r="F156" s="200">
        <v>18.484675218193392</v>
      </c>
      <c r="G156" s="200">
        <v>27.405521452536867</v>
      </c>
      <c r="H156" s="202">
        <v>69.494480542518573</v>
      </c>
      <c r="I156" s="200">
        <v>19.048970613577158</v>
      </c>
      <c r="J156" s="200">
        <v>11.456548843904269</v>
      </c>
      <c r="K156" s="201">
        <v>50.264895394161172</v>
      </c>
      <c r="L156" s="200">
        <v>22.465993158857689</v>
      </c>
      <c r="M156" s="203">
        <v>27.26911144698115</v>
      </c>
      <c r="N156" s="434"/>
      <c r="O156" s="202">
        <v>73.580848499562137</v>
      </c>
      <c r="P156" s="200">
        <v>17.430397197679763</v>
      </c>
      <c r="Q156" s="200">
        <v>8.9887543027581014</v>
      </c>
      <c r="R156" s="201">
        <v>51.379585091628059</v>
      </c>
      <c r="S156" s="200">
        <v>22.344852008144716</v>
      </c>
      <c r="T156" s="200">
        <v>26.275562900227229</v>
      </c>
      <c r="U156" s="202">
        <v>66.582945038194381</v>
      </c>
      <c r="V156" s="200">
        <v>19.842025947930921</v>
      </c>
      <c r="W156" s="200">
        <v>13.575029013874696</v>
      </c>
      <c r="X156" s="201">
        <v>52.29248152976966</v>
      </c>
      <c r="Y156" s="200">
        <v>21.479791395045634</v>
      </c>
      <c r="Z156" s="203">
        <v>26.227727075184703</v>
      </c>
      <c r="AA156" s="200">
        <v>56.984899744203318</v>
      </c>
      <c r="AB156" s="204">
        <v>24.861787276177903</v>
      </c>
      <c r="AC156" s="200">
        <v>18.153312979618779</v>
      </c>
      <c r="AD156" s="201">
        <v>43.153409090909086</v>
      </c>
      <c r="AE156" s="200">
        <v>24.573863636363637</v>
      </c>
      <c r="AF156" s="205">
        <v>32.272727272727273</v>
      </c>
    </row>
    <row r="157" spans="1:32" x14ac:dyDescent="0.25">
      <c r="A157" s="199" t="s">
        <v>453</v>
      </c>
      <c r="B157" s="200">
        <v>78.52333588370314</v>
      </c>
      <c r="C157" s="200">
        <v>13.4123947972456</v>
      </c>
      <c r="D157" s="200">
        <v>8.0642693190512613</v>
      </c>
      <c r="E157" s="201">
        <v>44.262399187146755</v>
      </c>
      <c r="F157" s="200">
        <v>21.915285451197054</v>
      </c>
      <c r="G157" s="200">
        <v>33.822315361656194</v>
      </c>
      <c r="H157" s="202">
        <v>81.783813361189871</v>
      </c>
      <c r="I157" s="200">
        <v>12.326518430085063</v>
      </c>
      <c r="J157" s="200">
        <v>5.889668208725066</v>
      </c>
      <c r="K157" s="201">
        <v>53.490480507706252</v>
      </c>
      <c r="L157" s="200">
        <v>14.029918404351768</v>
      </c>
      <c r="M157" s="203">
        <v>32.47960108794198</v>
      </c>
      <c r="N157" s="434"/>
      <c r="O157" s="202">
        <v>78.759842519685037</v>
      </c>
      <c r="P157" s="200">
        <v>14.448818897637794</v>
      </c>
      <c r="Q157" s="200">
        <v>6.7913385826771657</v>
      </c>
      <c r="R157" s="201">
        <v>56.702025072324012</v>
      </c>
      <c r="S157" s="200">
        <v>18.386370941819351</v>
      </c>
      <c r="T157" s="200">
        <v>24.911603985856637</v>
      </c>
      <c r="U157" s="202">
        <v>87.994428969359333</v>
      </c>
      <c r="V157" s="200">
        <v>6.4345403899721445</v>
      </c>
      <c r="W157" s="200">
        <v>5.5710306406685239</v>
      </c>
      <c r="X157" s="201">
        <v>42.074927953890487</v>
      </c>
      <c r="Y157" s="200">
        <v>1.1527377521613833</v>
      </c>
      <c r="Z157" s="203">
        <v>56.77233429394812</v>
      </c>
      <c r="AA157" s="200">
        <v>76.783773994929376</v>
      </c>
      <c r="AB157" s="204">
        <v>19.847881202462876</v>
      </c>
      <c r="AC157" s="200">
        <v>3.3683448026077505</v>
      </c>
      <c r="AD157" s="201">
        <v>60.852713178294572</v>
      </c>
      <c r="AE157" s="200">
        <v>13.565891472868216</v>
      </c>
      <c r="AF157" s="205">
        <v>25.581395348837212</v>
      </c>
    </row>
    <row r="158" spans="1:32" x14ac:dyDescent="0.25">
      <c r="A158" s="199" t="s">
        <v>454</v>
      </c>
      <c r="B158" s="200">
        <v>77.094869519992656</v>
      </c>
      <c r="C158" s="200">
        <v>13.653746137608225</v>
      </c>
      <c r="D158" s="200">
        <v>9.2513843423991187</v>
      </c>
      <c r="E158" s="201">
        <v>65.958190861050667</v>
      </c>
      <c r="F158" s="200">
        <v>15.196611750077713</v>
      </c>
      <c r="G158" s="200">
        <v>18.845197388871622</v>
      </c>
      <c r="H158" s="202">
        <v>80.698669928145534</v>
      </c>
      <c r="I158" s="200">
        <v>11.418743311420272</v>
      </c>
      <c r="J158" s="200">
        <v>7.8825867604341848</v>
      </c>
      <c r="K158" s="201">
        <v>52.864567775852798</v>
      </c>
      <c r="L158" s="200">
        <v>24.212915944799569</v>
      </c>
      <c r="M158" s="203">
        <v>22.922516279347633</v>
      </c>
      <c r="N158" s="434"/>
      <c r="O158" s="202">
        <v>81.066666666666663</v>
      </c>
      <c r="P158" s="200">
        <v>12.026373626373626</v>
      </c>
      <c r="Q158" s="200">
        <v>6.9069597069597073</v>
      </c>
      <c r="R158" s="201">
        <v>55.214535003079448</v>
      </c>
      <c r="S158" s="200">
        <v>23.506466844590435</v>
      </c>
      <c r="T158" s="200">
        <v>21.278998152330118</v>
      </c>
      <c r="U158" s="202">
        <v>80.246563120970023</v>
      </c>
      <c r="V158" s="200">
        <v>10.426213552861025</v>
      </c>
      <c r="W158" s="200">
        <v>9.3272233261689443</v>
      </c>
      <c r="X158" s="201">
        <v>49.991793861808631</v>
      </c>
      <c r="Y158" s="200">
        <v>21.05695059904809</v>
      </c>
      <c r="Z158" s="203">
        <v>28.951255539143279</v>
      </c>
      <c r="AA158" s="200">
        <v>80.488909008601169</v>
      </c>
      <c r="AB158" s="204">
        <v>11.981288667572054</v>
      </c>
      <c r="AC158" s="200">
        <v>7.5298023238267691</v>
      </c>
      <c r="AD158" s="201">
        <v>46.961325966850829</v>
      </c>
      <c r="AE158" s="200">
        <v>53.038674033149171</v>
      </c>
      <c r="AF158" s="205">
        <v>0</v>
      </c>
    </row>
    <row r="159" spans="1:32" x14ac:dyDescent="0.25">
      <c r="A159" s="199" t="s">
        <v>455</v>
      </c>
      <c r="B159" s="200">
        <v>57.58620689655173</v>
      </c>
      <c r="C159" s="200">
        <v>21.12787356321839</v>
      </c>
      <c r="D159" s="200">
        <v>21.285919540229887</v>
      </c>
      <c r="E159" s="201">
        <v>58.285949167637185</v>
      </c>
      <c r="F159" s="200">
        <v>23.881619510858396</v>
      </c>
      <c r="G159" s="200">
        <v>17.832431321504419</v>
      </c>
      <c r="H159" s="202">
        <v>68.297303609892822</v>
      </c>
      <c r="I159" s="200">
        <v>15.903251758233203</v>
      </c>
      <c r="J159" s="200">
        <v>15.79944463187398</v>
      </c>
      <c r="K159" s="201">
        <v>48.457694296053766</v>
      </c>
      <c r="L159" s="200">
        <v>23.539548509391693</v>
      </c>
      <c r="M159" s="203">
        <v>28.00275719455454</v>
      </c>
      <c r="N159" s="434"/>
      <c r="O159" s="202">
        <v>66.232342127330185</v>
      </c>
      <c r="P159" s="200">
        <v>17.480487647552089</v>
      </c>
      <c r="Q159" s="200">
        <v>16.28717022511772</v>
      </c>
      <c r="R159" s="201">
        <v>46.274509803921568</v>
      </c>
      <c r="S159" s="200">
        <v>33.96078431372549</v>
      </c>
      <c r="T159" s="200">
        <v>19.764705882352938</v>
      </c>
      <c r="U159" s="202">
        <v>74.502177068214806</v>
      </c>
      <c r="V159" s="200">
        <v>13.404934687953556</v>
      </c>
      <c r="W159" s="200">
        <v>12.09288824383164</v>
      </c>
      <c r="X159" s="201">
        <v>59.460916442048514</v>
      </c>
      <c r="Y159" s="200">
        <v>26.954177897574123</v>
      </c>
      <c r="Z159" s="203">
        <v>13.584905660377359</v>
      </c>
      <c r="AA159" s="200">
        <v>55.400516795865627</v>
      </c>
      <c r="AB159" s="204">
        <v>19.104220499569337</v>
      </c>
      <c r="AC159" s="200">
        <v>25.495262704565029</v>
      </c>
      <c r="AD159" s="201">
        <v>37.839771101573675</v>
      </c>
      <c r="AE159" s="200">
        <v>0</v>
      </c>
      <c r="AF159" s="205">
        <v>62.160228898426325</v>
      </c>
    </row>
    <row r="160" spans="1:32" x14ac:dyDescent="0.25">
      <c r="A160" s="199" t="s">
        <v>456</v>
      </c>
      <c r="B160" s="200">
        <v>64.695190156599551</v>
      </c>
      <c r="C160" s="200">
        <v>19.644854586129753</v>
      </c>
      <c r="D160" s="200">
        <v>15.659955257270694</v>
      </c>
      <c r="E160" s="201">
        <v>51.175926876861453</v>
      </c>
      <c r="F160" s="200">
        <v>31.9400225942282</v>
      </c>
      <c r="G160" s="200">
        <v>16.88405052891034</v>
      </c>
      <c r="H160" s="202">
        <v>68.019959174415973</v>
      </c>
      <c r="I160" s="200">
        <v>15.729190292583354</v>
      </c>
      <c r="J160" s="200">
        <v>16.25085053300068</v>
      </c>
      <c r="K160" s="201">
        <v>37.564162389174058</v>
      </c>
      <c r="L160" s="200">
        <v>47.876808212785818</v>
      </c>
      <c r="M160" s="203">
        <v>14.55902939804013</v>
      </c>
      <c r="N160" s="434"/>
      <c r="O160" s="202">
        <v>66.177280234905496</v>
      </c>
      <c r="P160" s="200">
        <v>13.121673701596622</v>
      </c>
      <c r="Q160" s="200">
        <v>20.701046063497888</v>
      </c>
      <c r="R160" s="201">
        <v>43.789209535759099</v>
      </c>
      <c r="S160" s="200">
        <v>45.98494353826851</v>
      </c>
      <c r="T160" s="200">
        <v>10.225846925972396</v>
      </c>
      <c r="U160" s="202">
        <v>73.74320652173914</v>
      </c>
      <c r="V160" s="200">
        <v>15.896739130434783</v>
      </c>
      <c r="W160" s="200">
        <v>10.360054347826086</v>
      </c>
      <c r="X160" s="201">
        <v>24.153498871331827</v>
      </c>
      <c r="Y160" s="200">
        <v>66.139954853273139</v>
      </c>
      <c r="Z160" s="203">
        <v>9.7065462753950342</v>
      </c>
      <c r="AA160" s="200">
        <v>52</v>
      </c>
      <c r="AB160" s="204">
        <v>48</v>
      </c>
      <c r="AC160" s="200">
        <v>0</v>
      </c>
      <c r="AD160" s="201">
        <v>0</v>
      </c>
      <c r="AE160" s="200">
        <v>0</v>
      </c>
      <c r="AF160" s="205">
        <v>100</v>
      </c>
    </row>
    <row r="161" spans="1:32" x14ac:dyDescent="0.25">
      <c r="A161" s="199" t="s">
        <v>457</v>
      </c>
      <c r="B161" s="200">
        <v>78.664990045059199</v>
      </c>
      <c r="C161" s="200">
        <v>7.4400083831080375</v>
      </c>
      <c r="D161" s="200">
        <v>13.895001571832758</v>
      </c>
      <c r="E161" s="201">
        <v>45.163303515706261</v>
      </c>
      <c r="F161" s="200">
        <v>27.002288329519452</v>
      </c>
      <c r="G161" s="200">
        <v>27.834408154774287</v>
      </c>
      <c r="H161" s="202">
        <v>70.729333067092654</v>
      </c>
      <c r="I161" s="200">
        <v>14.973542332268371</v>
      </c>
      <c r="J161" s="200">
        <v>14.297124600638977</v>
      </c>
      <c r="K161" s="201">
        <v>47.065783246568863</v>
      </c>
      <c r="L161" s="200">
        <v>11.94983435873166</v>
      </c>
      <c r="M161" s="203">
        <v>40.98438239469948</v>
      </c>
      <c r="N161" s="434"/>
      <c r="O161" s="202">
        <v>70.093038177734996</v>
      </c>
      <c r="P161" s="200">
        <v>12.929098492139879</v>
      </c>
      <c r="Q161" s="200">
        <v>16.977863330125121</v>
      </c>
      <c r="R161" s="201">
        <v>44.918821407095614</v>
      </c>
      <c r="S161" s="200">
        <v>15.8749248346362</v>
      </c>
      <c r="T161" s="200">
        <v>39.20625375826819</v>
      </c>
      <c r="U161" s="202">
        <v>70.007073803348263</v>
      </c>
      <c r="V161" s="200">
        <v>17.077340249941049</v>
      </c>
      <c r="W161" s="200">
        <v>12.915585946710681</v>
      </c>
      <c r="X161" s="201">
        <v>56.580366774541538</v>
      </c>
      <c r="Y161" s="200">
        <v>0</v>
      </c>
      <c r="Z161" s="203">
        <v>43.419633225458469</v>
      </c>
      <c r="AA161" s="200">
        <v>73.679308050565538</v>
      </c>
      <c r="AB161" s="204">
        <v>14.464404524284763</v>
      </c>
      <c r="AC161" s="200">
        <v>11.8562874251497</v>
      </c>
      <c r="AD161" s="201">
        <v>27.221438645980257</v>
      </c>
      <c r="AE161" s="200">
        <v>33.991537376586741</v>
      </c>
      <c r="AF161" s="205">
        <v>38.787023977433002</v>
      </c>
    </row>
    <row r="162" spans="1:32" x14ac:dyDescent="0.25">
      <c r="A162" s="199" t="s">
        <v>458</v>
      </c>
      <c r="B162" s="200">
        <v>78.74129233725678</v>
      </c>
      <c r="C162" s="200">
        <v>12.478981503723277</v>
      </c>
      <c r="D162" s="200">
        <v>8.7797261590199369</v>
      </c>
      <c r="E162" s="201">
        <v>55.413333333333334</v>
      </c>
      <c r="F162" s="200">
        <v>16.653333333333332</v>
      </c>
      <c r="G162" s="200">
        <v>27.933333333333334</v>
      </c>
      <c r="H162" s="202">
        <v>83.063525137575468</v>
      </c>
      <c r="I162" s="200">
        <v>8.5430357429075183</v>
      </c>
      <c r="J162" s="200">
        <v>8.3934391195170175</v>
      </c>
      <c r="K162" s="201">
        <v>52.119377162629753</v>
      </c>
      <c r="L162" s="200">
        <v>13.51643598615917</v>
      </c>
      <c r="M162" s="203">
        <v>34.364186851211073</v>
      </c>
      <c r="N162" s="434"/>
      <c r="O162" s="202">
        <v>78.931572629051615</v>
      </c>
      <c r="P162" s="200">
        <v>9.3997599039615842</v>
      </c>
      <c r="Q162" s="200">
        <v>11.668667466986795</v>
      </c>
      <c r="R162" s="201">
        <v>50.901960784313729</v>
      </c>
      <c r="S162" s="200">
        <v>13.294117647058822</v>
      </c>
      <c r="T162" s="200">
        <v>35.803921568627452</v>
      </c>
      <c r="U162" s="202">
        <v>86.87019111442045</v>
      </c>
      <c r="V162" s="200">
        <v>8.4139985107967235</v>
      </c>
      <c r="W162" s="200">
        <v>4.7158103747828246</v>
      </c>
      <c r="X162" s="201">
        <v>58.880442294402215</v>
      </c>
      <c r="Y162" s="200">
        <v>12.508638562543192</v>
      </c>
      <c r="Z162" s="203">
        <v>28.610919143054598</v>
      </c>
      <c r="AA162" s="200">
        <v>84.671532846715323</v>
      </c>
      <c r="AB162" s="204">
        <v>5.8823529411764701</v>
      </c>
      <c r="AC162" s="200">
        <v>9.4461142121082009</v>
      </c>
      <c r="AD162" s="201">
        <v>41.467304625199361</v>
      </c>
      <c r="AE162" s="200">
        <v>16.746411483253588</v>
      </c>
      <c r="AF162" s="205">
        <v>41.78628389154705</v>
      </c>
    </row>
    <row r="163" spans="1:32" x14ac:dyDescent="0.25">
      <c r="A163" s="199" t="s">
        <v>459</v>
      </c>
      <c r="B163" s="200">
        <v>77.784423463066602</v>
      </c>
      <c r="C163" s="200">
        <v>13.25244584953219</v>
      </c>
      <c r="D163" s="200">
        <v>8.9631306874012058</v>
      </c>
      <c r="E163" s="201">
        <v>65.653687875910094</v>
      </c>
      <c r="F163" s="200">
        <v>10.169357391579615</v>
      </c>
      <c r="G163" s="200">
        <v>24.176954732510289</v>
      </c>
      <c r="H163" s="202">
        <v>82.101537637926413</v>
      </c>
      <c r="I163" s="200">
        <v>10.222169348362728</v>
      </c>
      <c r="J163" s="200">
        <v>7.6762930137108523</v>
      </c>
      <c r="K163" s="201">
        <v>62.571127502634347</v>
      </c>
      <c r="L163" s="200">
        <v>22.086406743940991</v>
      </c>
      <c r="M163" s="203">
        <v>15.342465753424658</v>
      </c>
      <c r="N163" s="434"/>
      <c r="O163" s="202">
        <v>85.648346930012892</v>
      </c>
      <c r="P163" s="200">
        <v>9.0650493774151997</v>
      </c>
      <c r="Q163" s="200">
        <v>5.2866036925719193</v>
      </c>
      <c r="R163" s="201">
        <v>56.983971213608108</v>
      </c>
      <c r="S163" s="200">
        <v>25.286228328426564</v>
      </c>
      <c r="T163" s="200">
        <v>17.729800457965325</v>
      </c>
      <c r="U163" s="202">
        <v>73.426266877082242</v>
      </c>
      <c r="V163" s="200">
        <v>12.993161493950552</v>
      </c>
      <c r="W163" s="200">
        <v>13.580571628967212</v>
      </c>
      <c r="X163" s="201">
        <v>72.202918693537171</v>
      </c>
      <c r="Y163" s="200">
        <v>14.871438498957609</v>
      </c>
      <c r="Z163" s="203">
        <v>12.925642807505211</v>
      </c>
      <c r="AA163" s="200">
        <v>91.269177126917711</v>
      </c>
      <c r="AB163" s="204">
        <v>7.4198047419804736</v>
      </c>
      <c r="AC163" s="200">
        <v>1.3110181311018132</v>
      </c>
      <c r="AD163" s="201">
        <v>75.502008032128515</v>
      </c>
      <c r="AE163" s="200">
        <v>24.497991967871485</v>
      </c>
      <c r="AF163" s="205">
        <v>0</v>
      </c>
    </row>
    <row r="164" spans="1:32" x14ac:dyDescent="0.25">
      <c r="A164" s="199" t="s">
        <v>460</v>
      </c>
      <c r="B164" s="200">
        <v>74.76197238098618</v>
      </c>
      <c r="C164" s="200">
        <v>16.301608150804075</v>
      </c>
      <c r="D164" s="200">
        <v>8.9364194682097349</v>
      </c>
      <c r="E164" s="201">
        <v>54.48330145403456</v>
      </c>
      <c r="F164" s="200">
        <v>22.181728930040457</v>
      </c>
      <c r="G164" s="200">
        <v>23.33496961592498</v>
      </c>
      <c r="H164" s="202">
        <v>76.478357464012532</v>
      </c>
      <c r="I164" s="200">
        <v>13.420819210374848</v>
      </c>
      <c r="J164" s="200">
        <v>10.100823325612627</v>
      </c>
      <c r="K164" s="201">
        <v>50.654349499615094</v>
      </c>
      <c r="L164" s="200">
        <v>20.748561164265553</v>
      </c>
      <c r="M164" s="203">
        <v>28.597089336119357</v>
      </c>
      <c r="N164" s="434"/>
      <c r="O164" s="202">
        <v>77.276391439617868</v>
      </c>
      <c r="P164" s="200">
        <v>13.576071435709416</v>
      </c>
      <c r="Q164" s="200">
        <v>9.1475371246727235</v>
      </c>
      <c r="R164" s="201">
        <v>55.030714244014455</v>
      </c>
      <c r="S164" s="200">
        <v>17.748746456672482</v>
      </c>
      <c r="T164" s="200">
        <v>27.220539299313064</v>
      </c>
      <c r="U164" s="202">
        <v>76.98782846092594</v>
      </c>
      <c r="V164" s="200">
        <v>12.560194137944109</v>
      </c>
      <c r="W164" s="200">
        <v>10.451977401129943</v>
      </c>
      <c r="X164" s="201">
        <v>43.511328703176595</v>
      </c>
      <c r="Y164" s="200">
        <v>27.131959467152456</v>
      </c>
      <c r="Z164" s="203">
        <v>29.356711829670957</v>
      </c>
      <c r="AA164" s="200">
        <v>68.427406142756126</v>
      </c>
      <c r="AB164" s="204">
        <v>15.34826771517754</v>
      </c>
      <c r="AC164" s="200">
        <v>16.224326142066325</v>
      </c>
      <c r="AD164" s="201">
        <v>32.741255271644754</v>
      </c>
      <c r="AE164" s="200">
        <v>29.789134209873481</v>
      </c>
      <c r="AF164" s="205">
        <v>37.469610518481765</v>
      </c>
    </row>
    <row r="165" spans="1:32" x14ac:dyDescent="0.25">
      <c r="A165" s="199" t="s">
        <v>461</v>
      </c>
      <c r="B165" s="200">
        <v>84.702364773036152</v>
      </c>
      <c r="C165" s="200">
        <v>9.3693938570263668</v>
      </c>
      <c r="D165" s="200">
        <v>5.9282413699374832</v>
      </c>
      <c r="E165" s="201">
        <v>45.030106530801298</v>
      </c>
      <c r="F165" s="200">
        <v>22.468735525706347</v>
      </c>
      <c r="G165" s="200">
        <v>32.501157943492359</v>
      </c>
      <c r="H165" s="202">
        <v>83.071624101314569</v>
      </c>
      <c r="I165" s="200">
        <v>9.1944168697169335</v>
      </c>
      <c r="J165" s="200">
        <v>7.7339590289685036</v>
      </c>
      <c r="K165" s="201">
        <v>56.89231382448682</v>
      </c>
      <c r="L165" s="200">
        <v>23.92214176576098</v>
      </c>
      <c r="M165" s="203">
        <v>19.185544409752207</v>
      </c>
      <c r="N165" s="434"/>
      <c r="O165" s="202">
        <v>81.179455770408609</v>
      </c>
      <c r="P165" s="200">
        <v>9.3621489194155227</v>
      </c>
      <c r="Q165" s="200">
        <v>9.4583953101758684</v>
      </c>
      <c r="R165" s="201">
        <v>54.549479743192386</v>
      </c>
      <c r="S165" s="200">
        <v>21.21983617445207</v>
      </c>
      <c r="T165" s="200">
        <v>24.230684082355548</v>
      </c>
      <c r="U165" s="202">
        <v>83.744225029641441</v>
      </c>
      <c r="V165" s="200">
        <v>10.123063085162926</v>
      </c>
      <c r="W165" s="200">
        <v>6.1327118851956328</v>
      </c>
      <c r="X165" s="201">
        <v>60.189938398357292</v>
      </c>
      <c r="Y165" s="200">
        <v>32.21252566735113</v>
      </c>
      <c r="Z165" s="203">
        <v>7.5975359342915816</v>
      </c>
      <c r="AA165" s="200">
        <v>89.329543986565042</v>
      </c>
      <c r="AB165" s="204">
        <v>5.5160831933858674</v>
      </c>
      <c r="AC165" s="200">
        <v>5.1543728200490895</v>
      </c>
      <c r="AD165" s="201">
        <v>60.838831291234683</v>
      </c>
      <c r="AE165" s="200">
        <v>20.216776625824696</v>
      </c>
      <c r="AF165" s="205">
        <v>18.944392082940624</v>
      </c>
    </row>
    <row r="166" spans="1:32" x14ac:dyDescent="0.25">
      <c r="A166" s="199" t="s">
        <v>462</v>
      </c>
      <c r="B166" s="200">
        <v>82.618193524650479</v>
      </c>
      <c r="C166" s="200">
        <v>10.602924944812361</v>
      </c>
      <c r="D166" s="200">
        <v>6.7788815305371593</v>
      </c>
      <c r="E166" s="201">
        <v>58.045977011494251</v>
      </c>
      <c r="F166" s="200">
        <v>19.713468624539406</v>
      </c>
      <c r="G166" s="200">
        <v>22.240554363966343</v>
      </c>
      <c r="H166" s="202">
        <v>83.729662077596998</v>
      </c>
      <c r="I166" s="200">
        <v>8.8791544986789042</v>
      </c>
      <c r="J166" s="200">
        <v>7.3911834237241001</v>
      </c>
      <c r="K166" s="201">
        <v>54.584360005187392</v>
      </c>
      <c r="L166" s="200">
        <v>18.29205031772792</v>
      </c>
      <c r="M166" s="203">
        <v>27.123589677084688</v>
      </c>
      <c r="N166" s="434"/>
      <c r="O166" s="202">
        <v>84.285363457760312</v>
      </c>
      <c r="P166" s="200">
        <v>8.941552062868368</v>
      </c>
      <c r="Q166" s="200">
        <v>6.7730844793713167</v>
      </c>
      <c r="R166" s="201">
        <v>53.604595500239348</v>
      </c>
      <c r="S166" s="200">
        <v>13.805648635710865</v>
      </c>
      <c r="T166" s="200">
        <v>32.589755864049785</v>
      </c>
      <c r="U166" s="202">
        <v>84.935239133168466</v>
      </c>
      <c r="V166" s="200">
        <v>7.3689064006371288</v>
      </c>
      <c r="W166" s="200">
        <v>7.695854466194409</v>
      </c>
      <c r="X166" s="201">
        <v>63.347853142501556</v>
      </c>
      <c r="Y166" s="200">
        <v>18.574984443061606</v>
      </c>
      <c r="Z166" s="203">
        <v>18.077162414436838</v>
      </c>
      <c r="AA166" s="200">
        <v>76.708032183281063</v>
      </c>
      <c r="AB166" s="204">
        <v>13.459702713759716</v>
      </c>
      <c r="AC166" s="200">
        <v>9.8322651029592265</v>
      </c>
      <c r="AD166" s="201">
        <v>44.419263456090654</v>
      </c>
      <c r="AE166" s="200">
        <v>44.305949008498587</v>
      </c>
      <c r="AF166" s="205">
        <v>11.274787535410765</v>
      </c>
    </row>
    <row r="167" spans="1:32" x14ac:dyDescent="0.25">
      <c r="A167" s="199" t="s">
        <v>463</v>
      </c>
      <c r="B167" s="200">
        <v>79.368174726989082</v>
      </c>
      <c r="C167" s="200">
        <v>17.609204368174726</v>
      </c>
      <c r="D167" s="200">
        <v>3.0226209048361934</v>
      </c>
      <c r="E167" s="201">
        <v>50.601903695408737</v>
      </c>
      <c r="F167" s="200">
        <v>30.543113101903696</v>
      </c>
      <c r="G167" s="200">
        <v>18.854983202687571</v>
      </c>
      <c r="H167" s="202">
        <v>80.151523292676373</v>
      </c>
      <c r="I167" s="200">
        <v>10.880661974101338</v>
      </c>
      <c r="J167" s="200">
        <v>8.9678147332222871</v>
      </c>
      <c r="K167" s="201">
        <v>45.907558979297065</v>
      </c>
      <c r="L167" s="200">
        <v>22.363986519017814</v>
      </c>
      <c r="M167" s="203">
        <v>31.728454501685121</v>
      </c>
      <c r="N167" s="434"/>
      <c r="O167" s="202">
        <v>76.862187943982136</v>
      </c>
      <c r="P167" s="200">
        <v>12.969352547188958</v>
      </c>
      <c r="Q167" s="200">
        <v>10.168459508828901</v>
      </c>
      <c r="R167" s="201">
        <v>48.483516483516482</v>
      </c>
      <c r="S167" s="200">
        <v>17.18681318681319</v>
      </c>
      <c r="T167" s="200">
        <v>34.329670329670328</v>
      </c>
      <c r="U167" s="202">
        <v>83.595679012345684</v>
      </c>
      <c r="V167" s="200">
        <v>7.4074074074074066</v>
      </c>
      <c r="W167" s="200">
        <v>8.9969135802469147</v>
      </c>
      <c r="X167" s="201">
        <v>46.955128205128204</v>
      </c>
      <c r="Y167" s="200">
        <v>21.634615384615387</v>
      </c>
      <c r="Z167" s="203">
        <v>31.410256410256409</v>
      </c>
      <c r="AA167" s="200">
        <v>84.584980237154156</v>
      </c>
      <c r="AB167" s="204">
        <v>11.725955204216074</v>
      </c>
      <c r="AC167" s="200">
        <v>3.6890645586297759</v>
      </c>
      <c r="AD167" s="201">
        <v>34.444444444444443</v>
      </c>
      <c r="AE167" s="200">
        <v>42.539682539682538</v>
      </c>
      <c r="AF167" s="205">
        <v>23.015873015873016</v>
      </c>
    </row>
    <row r="168" spans="1:32" x14ac:dyDescent="0.25">
      <c r="A168" s="199" t="s">
        <v>464</v>
      </c>
      <c r="B168" s="200">
        <v>82.039729476801966</v>
      </c>
      <c r="C168" s="200">
        <v>10.996999546555267</v>
      </c>
      <c r="D168" s="200">
        <v>6.9632709766427725</v>
      </c>
      <c r="E168" s="201">
        <v>51.622417166445075</v>
      </c>
      <c r="F168" s="200">
        <v>20.612738979232827</v>
      </c>
      <c r="G168" s="200">
        <v>27.764843854322091</v>
      </c>
      <c r="H168" s="202">
        <v>76.173932989995848</v>
      </c>
      <c r="I168" s="200">
        <v>14.406854910317884</v>
      </c>
      <c r="J168" s="200">
        <v>9.4192120996862609</v>
      </c>
      <c r="K168" s="201">
        <v>48.99653045962215</v>
      </c>
      <c r="L168" s="200">
        <v>21.625167040592398</v>
      </c>
      <c r="M168" s="203">
        <v>29.378302499785452</v>
      </c>
      <c r="N168" s="434"/>
      <c r="O168" s="202">
        <v>77.222774723384561</v>
      </c>
      <c r="P168" s="200">
        <v>13.814196986471019</v>
      </c>
      <c r="Q168" s="200">
        <v>8.9630282901444218</v>
      </c>
      <c r="R168" s="201">
        <v>54.156039879434267</v>
      </c>
      <c r="S168" s="200">
        <v>18.164077594868228</v>
      </c>
      <c r="T168" s="200">
        <v>27.679882525697501</v>
      </c>
      <c r="U168" s="202">
        <v>74.29934406678592</v>
      </c>
      <c r="V168" s="200">
        <v>15.525342874180085</v>
      </c>
      <c r="W168" s="200">
        <v>10.175313059033989</v>
      </c>
      <c r="X168" s="201">
        <v>43.747101561292318</v>
      </c>
      <c r="Y168" s="200">
        <v>22.713453908383574</v>
      </c>
      <c r="Z168" s="203">
        <v>33.539444530324111</v>
      </c>
      <c r="AA168" s="200">
        <v>75.778455514138329</v>
      </c>
      <c r="AB168" s="204">
        <v>14.44331488384352</v>
      </c>
      <c r="AC168" s="200">
        <v>9.7782296020181487</v>
      </c>
      <c r="AD168" s="201">
        <v>33.121876201460978</v>
      </c>
      <c r="AE168" s="200">
        <v>36.812764321414839</v>
      </c>
      <c r="AF168" s="205">
        <v>30.065359477124183</v>
      </c>
    </row>
    <row r="169" spans="1:32" x14ac:dyDescent="0.25">
      <c r="A169" s="199" t="s">
        <v>465</v>
      </c>
      <c r="B169" s="200">
        <v>81.202460850111862</v>
      </c>
      <c r="C169" s="200">
        <v>9.9272930648769577</v>
      </c>
      <c r="D169" s="200">
        <v>8.8702460850111855</v>
      </c>
      <c r="E169" s="201">
        <v>45.616517319079804</v>
      </c>
      <c r="F169" s="200">
        <v>13.305035895823508</v>
      </c>
      <c r="G169" s="200">
        <v>41.078446785096681</v>
      </c>
      <c r="H169" s="202">
        <v>81.195539302000086</v>
      </c>
      <c r="I169" s="200">
        <v>13.373064246692854</v>
      </c>
      <c r="J169" s="200">
        <v>5.4313964513070561</v>
      </c>
      <c r="K169" s="201">
        <v>55.212278253936617</v>
      </c>
      <c r="L169" s="200">
        <v>24.63623679489735</v>
      </c>
      <c r="M169" s="203">
        <v>20.151484951166037</v>
      </c>
      <c r="N169" s="434"/>
      <c r="O169" s="202">
        <v>85.952244781241063</v>
      </c>
      <c r="P169" s="200">
        <v>11.588504432370602</v>
      </c>
      <c r="Q169" s="200">
        <v>2.4592507863883331</v>
      </c>
      <c r="R169" s="201">
        <v>56.778137360661631</v>
      </c>
      <c r="S169" s="200">
        <v>16.181229773462782</v>
      </c>
      <c r="T169" s="200">
        <v>27.040632865875587</v>
      </c>
      <c r="U169" s="202">
        <v>74.599838318512539</v>
      </c>
      <c r="V169" s="200">
        <v>17.23524656426839</v>
      </c>
      <c r="W169" s="200">
        <v>8.1649151172190777</v>
      </c>
      <c r="X169" s="201">
        <v>57.816593886462883</v>
      </c>
      <c r="Y169" s="200">
        <v>33.449781659388641</v>
      </c>
      <c r="Z169" s="203">
        <v>8.7336244541484707</v>
      </c>
      <c r="AA169" s="200">
        <v>68.151898734177223</v>
      </c>
      <c r="AB169" s="204">
        <v>13.924050632911392</v>
      </c>
      <c r="AC169" s="200">
        <v>17.924050632911392</v>
      </c>
      <c r="AD169" s="201">
        <v>48.443223443223445</v>
      </c>
      <c r="AE169" s="200">
        <v>36.904761904761905</v>
      </c>
      <c r="AF169" s="205">
        <v>14.652014652014653</v>
      </c>
    </row>
    <row r="170" spans="1:32" x14ac:dyDescent="0.25">
      <c r="A170" s="199" t="s">
        <v>466</v>
      </c>
      <c r="B170" s="200">
        <v>74.197989811372707</v>
      </c>
      <c r="C170" s="200">
        <v>19.936665289825143</v>
      </c>
      <c r="D170" s="200">
        <v>5.8653448988021477</v>
      </c>
      <c r="E170" s="201">
        <v>37.949910017996402</v>
      </c>
      <c r="F170" s="200">
        <v>15.746850629874027</v>
      </c>
      <c r="G170" s="200">
        <v>46.303239352129573</v>
      </c>
      <c r="H170" s="202">
        <v>77.362902083038122</v>
      </c>
      <c r="I170" s="200">
        <v>12.179396344055547</v>
      </c>
      <c r="J170" s="200">
        <v>10.457701572906334</v>
      </c>
      <c r="K170" s="201">
        <v>70.106861642294717</v>
      </c>
      <c r="L170" s="200">
        <v>12.429696287964004</v>
      </c>
      <c r="M170" s="203">
        <v>17.463442069741284</v>
      </c>
      <c r="N170" s="434"/>
      <c r="O170" s="202">
        <v>78.819784524975518</v>
      </c>
      <c r="P170" s="200">
        <v>16.209598432908912</v>
      </c>
      <c r="Q170" s="200">
        <v>4.9706170421155731</v>
      </c>
      <c r="R170" s="201">
        <v>80.244530244530239</v>
      </c>
      <c r="S170" s="200">
        <v>11.776061776061777</v>
      </c>
      <c r="T170" s="200">
        <v>7.9794079794079789</v>
      </c>
      <c r="U170" s="202">
        <v>75.529865125240846</v>
      </c>
      <c r="V170" s="200">
        <v>2.4566473988439306</v>
      </c>
      <c r="W170" s="200">
        <v>22.013487475915223</v>
      </c>
      <c r="X170" s="201">
        <v>67.751479289940832</v>
      </c>
      <c r="Y170" s="200">
        <v>13.412228796844181</v>
      </c>
      <c r="Z170" s="203">
        <v>18.836291913214989</v>
      </c>
      <c r="AA170" s="200">
        <v>74.9721293199554</v>
      </c>
      <c r="AB170" s="204">
        <v>16.33221850613155</v>
      </c>
      <c r="AC170" s="200">
        <v>8.695652173913043</v>
      </c>
      <c r="AD170" s="201">
        <v>56.578947368421048</v>
      </c>
      <c r="AE170" s="200">
        <v>12.449392712550607</v>
      </c>
      <c r="AF170" s="205">
        <v>30.971659919028337</v>
      </c>
    </row>
    <row r="171" spans="1:32" x14ac:dyDescent="0.25">
      <c r="A171" s="199" t="s">
        <v>467</v>
      </c>
      <c r="B171" s="200">
        <v>74.394261035063309</v>
      </c>
      <c r="C171" s="200">
        <v>18.761437669277505</v>
      </c>
      <c r="D171" s="200">
        <v>6.844301295659176</v>
      </c>
      <c r="E171" s="201">
        <v>36.833529465013129</v>
      </c>
      <c r="F171" s="200">
        <v>22.096496786457863</v>
      </c>
      <c r="G171" s="200">
        <v>41.069973748529016</v>
      </c>
      <c r="H171" s="202">
        <v>70.899344441409454</v>
      </c>
      <c r="I171" s="200">
        <v>16.907948647910406</v>
      </c>
      <c r="J171" s="200">
        <v>12.192706910680142</v>
      </c>
      <c r="K171" s="201">
        <v>40.052926525529266</v>
      </c>
      <c r="L171" s="200">
        <v>25.311332503113327</v>
      </c>
      <c r="M171" s="203">
        <v>34.635740971357407</v>
      </c>
      <c r="N171" s="434"/>
      <c r="O171" s="202">
        <v>76.642861822708511</v>
      </c>
      <c r="P171" s="200">
        <v>12.572888685055364</v>
      </c>
      <c r="Q171" s="200">
        <v>10.784249492236126</v>
      </c>
      <c r="R171" s="201">
        <v>59.955629506378258</v>
      </c>
      <c r="S171" s="200">
        <v>3.5219079312257353</v>
      </c>
      <c r="T171" s="200">
        <v>36.522462562396008</v>
      </c>
      <c r="U171" s="202">
        <v>61.3152994217387</v>
      </c>
      <c r="V171" s="200">
        <v>28.109379594236987</v>
      </c>
      <c r="W171" s="200">
        <v>10.575320984024307</v>
      </c>
      <c r="X171" s="201">
        <v>18.397493285586393</v>
      </c>
      <c r="Y171" s="200">
        <v>57.967770814682183</v>
      </c>
      <c r="Z171" s="203">
        <v>23.634735899731425</v>
      </c>
      <c r="AA171" s="200">
        <v>73.547880690737827</v>
      </c>
      <c r="AB171" s="204">
        <v>4.3171114599686025</v>
      </c>
      <c r="AC171" s="200">
        <v>22.135007849293565</v>
      </c>
      <c r="AD171" s="201">
        <v>0</v>
      </c>
      <c r="AE171" s="200">
        <v>34.93150684931507</v>
      </c>
      <c r="AF171" s="205">
        <v>65.06849315068493</v>
      </c>
    </row>
    <row r="172" spans="1:32" x14ac:dyDescent="0.25">
      <c r="A172" s="199" t="s">
        <v>468</v>
      </c>
      <c r="B172" s="200">
        <v>74.881698181887842</v>
      </c>
      <c r="C172" s="200">
        <v>14.054447573615342</v>
      </c>
      <c r="D172" s="200">
        <v>11.06385424449681</v>
      </c>
      <c r="E172" s="201">
        <v>50.314820443788264</v>
      </c>
      <c r="F172" s="200">
        <v>21.82682704416171</v>
      </c>
      <c r="G172" s="200">
        <v>27.858352512050022</v>
      </c>
      <c r="H172" s="202">
        <v>78.559648824970296</v>
      </c>
      <c r="I172" s="200">
        <v>9.2983775131569377</v>
      </c>
      <c r="J172" s="200">
        <v>12.141973661872772</v>
      </c>
      <c r="K172" s="201">
        <v>59.334211471680042</v>
      </c>
      <c r="L172" s="200">
        <v>16.317407096954454</v>
      </c>
      <c r="M172" s="203">
        <v>24.348381431365503</v>
      </c>
      <c r="N172" s="434"/>
      <c r="O172" s="202">
        <v>78.400275814514742</v>
      </c>
      <c r="P172" s="200">
        <v>8.8734700913635578</v>
      </c>
      <c r="Q172" s="200">
        <v>12.726254094121703</v>
      </c>
      <c r="R172" s="201">
        <v>57.31554339149276</v>
      </c>
      <c r="S172" s="200">
        <v>15.018816284639069</v>
      </c>
      <c r="T172" s="200">
        <v>27.665640323868175</v>
      </c>
      <c r="U172" s="202">
        <v>77.562088569718739</v>
      </c>
      <c r="V172" s="200">
        <v>10.491472172351884</v>
      </c>
      <c r="W172" s="200">
        <v>11.946439257929384</v>
      </c>
      <c r="X172" s="201">
        <v>67.15976331360946</v>
      </c>
      <c r="Y172" s="200">
        <v>22.445759368836292</v>
      </c>
      <c r="Z172" s="203">
        <v>10.394477317554241</v>
      </c>
      <c r="AA172" s="200">
        <v>82.221030042918457</v>
      </c>
      <c r="AB172" s="204">
        <v>7.9935622317596575</v>
      </c>
      <c r="AC172" s="200">
        <v>9.785407725321889</v>
      </c>
      <c r="AD172" s="201">
        <v>57.563368765331155</v>
      </c>
      <c r="AE172" s="200">
        <v>12.959934587080948</v>
      </c>
      <c r="AF172" s="205">
        <v>29.476696647587897</v>
      </c>
    </row>
    <row r="173" spans="1:32" x14ac:dyDescent="0.25">
      <c r="A173" s="199" t="s">
        <v>469</v>
      </c>
      <c r="B173" s="200">
        <v>78.534031413612567</v>
      </c>
      <c r="C173" s="200">
        <v>15.07492327134862</v>
      </c>
      <c r="D173" s="200">
        <v>6.3910453150388156</v>
      </c>
      <c r="E173" s="201">
        <v>49.085116067364588</v>
      </c>
      <c r="F173" s="200">
        <v>20.591715976331361</v>
      </c>
      <c r="G173" s="200">
        <v>30.323167956304054</v>
      </c>
      <c r="H173" s="202">
        <v>81.027273591181228</v>
      </c>
      <c r="I173" s="200">
        <v>12.315879502043144</v>
      </c>
      <c r="J173" s="200">
        <v>6.6568469067756348</v>
      </c>
      <c r="K173" s="201">
        <v>54.630495790458376</v>
      </c>
      <c r="L173" s="200">
        <v>18.634237605238539</v>
      </c>
      <c r="M173" s="203">
        <v>26.735266604303089</v>
      </c>
      <c r="N173" s="434"/>
      <c r="O173" s="202">
        <v>79.940010907107791</v>
      </c>
      <c r="P173" s="200">
        <v>13.706598800218142</v>
      </c>
      <c r="Q173" s="200">
        <v>6.3533902926740593</v>
      </c>
      <c r="R173" s="201">
        <v>53.694581280788178</v>
      </c>
      <c r="S173" s="200">
        <v>14.224137931034484</v>
      </c>
      <c r="T173" s="200">
        <v>32.081280788177338</v>
      </c>
      <c r="U173" s="202">
        <v>82.843810046664828</v>
      </c>
      <c r="V173" s="200">
        <v>12.997529508646718</v>
      </c>
      <c r="W173" s="200">
        <v>4.1586604446884436</v>
      </c>
      <c r="X173" s="201">
        <v>61.333333333333329</v>
      </c>
      <c r="Y173" s="200">
        <v>26.484848484848484</v>
      </c>
      <c r="Z173" s="203">
        <v>12.181818181818182</v>
      </c>
      <c r="AA173" s="200">
        <v>80.572671257702069</v>
      </c>
      <c r="AB173" s="204">
        <v>4.9655672345052553</v>
      </c>
      <c r="AC173" s="200">
        <v>14.461761507792678</v>
      </c>
      <c r="AD173" s="201">
        <v>36.607142857142854</v>
      </c>
      <c r="AE173" s="200">
        <v>21.875</v>
      </c>
      <c r="AF173" s="205">
        <v>41.517857142857146</v>
      </c>
    </row>
    <row r="174" spans="1:32" x14ac:dyDescent="0.25">
      <c r="A174" s="199" t="s">
        <v>470</v>
      </c>
      <c r="B174" s="200">
        <v>66.111160144747288</v>
      </c>
      <c r="C174" s="200">
        <v>20.413861719796841</v>
      </c>
      <c r="D174" s="200">
        <v>13.474978135455865</v>
      </c>
      <c r="E174" s="201">
        <v>48.155534218020371</v>
      </c>
      <c r="F174" s="200">
        <v>24.961633470385962</v>
      </c>
      <c r="G174" s="200">
        <v>26.882832311593667</v>
      </c>
      <c r="H174" s="202">
        <v>70.712054904494764</v>
      </c>
      <c r="I174" s="200">
        <v>14.682155060161934</v>
      </c>
      <c r="J174" s="200">
        <v>14.605790035343299</v>
      </c>
      <c r="K174" s="201">
        <v>43.886901902169079</v>
      </c>
      <c r="L174" s="200">
        <v>20.52527625046709</v>
      </c>
      <c r="M174" s="203">
        <v>35.587821847363834</v>
      </c>
      <c r="N174" s="434"/>
      <c r="O174" s="202">
        <v>71.610032224514498</v>
      </c>
      <c r="P174" s="200">
        <v>14.462669008201054</v>
      </c>
      <c r="Q174" s="200">
        <v>13.927298767284446</v>
      </c>
      <c r="R174" s="201">
        <v>42.794984828533806</v>
      </c>
      <c r="S174" s="200">
        <v>20.306864372817312</v>
      </c>
      <c r="T174" s="200">
        <v>36.898150798648885</v>
      </c>
      <c r="U174" s="202">
        <v>70.439286690767688</v>
      </c>
      <c r="V174" s="200">
        <v>14.305677917185649</v>
      </c>
      <c r="W174" s="200">
        <v>15.255035392046661</v>
      </c>
      <c r="X174" s="201">
        <v>46.241354792838216</v>
      </c>
      <c r="Y174" s="200">
        <v>23.38568935427574</v>
      </c>
      <c r="Z174" s="203">
        <v>30.372955852886047</v>
      </c>
      <c r="AA174" s="200">
        <v>66.575238815851705</v>
      </c>
      <c r="AB174" s="204">
        <v>17.071786626312306</v>
      </c>
      <c r="AC174" s="200">
        <v>16.352974557835999</v>
      </c>
      <c r="AD174" s="201">
        <v>44.183638246461861</v>
      </c>
      <c r="AE174" s="200">
        <v>14.204349326889886</v>
      </c>
      <c r="AF174" s="205">
        <v>41.612012426648256</v>
      </c>
    </row>
    <row r="175" spans="1:32" x14ac:dyDescent="0.25">
      <c r="A175" s="199" t="s">
        <v>471</v>
      </c>
      <c r="B175" s="200">
        <v>69.78102189781022</v>
      </c>
      <c r="C175" s="200">
        <v>18.241827991113933</v>
      </c>
      <c r="D175" s="200">
        <v>11.977150111075849</v>
      </c>
      <c r="E175" s="201">
        <v>60.94230112666439</v>
      </c>
      <c r="F175" s="200">
        <v>21.534653465346533</v>
      </c>
      <c r="G175" s="200">
        <v>17.523045407989073</v>
      </c>
      <c r="H175" s="202">
        <v>80.178299384979965</v>
      </c>
      <c r="I175" s="200">
        <v>13.332957174293291</v>
      </c>
      <c r="J175" s="200">
        <v>6.488743440726739</v>
      </c>
      <c r="K175" s="201">
        <v>55.735027223230496</v>
      </c>
      <c r="L175" s="200">
        <v>19.491833030852995</v>
      </c>
      <c r="M175" s="203">
        <v>24.773139745916513</v>
      </c>
      <c r="N175" s="434"/>
      <c r="O175" s="202">
        <v>77.600238189757846</v>
      </c>
      <c r="P175" s="200">
        <v>14.599047240968638</v>
      </c>
      <c r="Q175" s="200">
        <v>7.8007145692735218</v>
      </c>
      <c r="R175" s="201">
        <v>45.981688708036621</v>
      </c>
      <c r="S175" s="200">
        <v>18.853848762292301</v>
      </c>
      <c r="T175" s="200">
        <v>35.164462529671077</v>
      </c>
      <c r="U175" s="202">
        <v>84.460609812722481</v>
      </c>
      <c r="V175" s="200">
        <v>12.397461693236341</v>
      </c>
      <c r="W175" s="200">
        <v>3.1419284940411698</v>
      </c>
      <c r="X175" s="201">
        <v>64.285714285714292</v>
      </c>
      <c r="Y175" s="200">
        <v>23.140900195694716</v>
      </c>
      <c r="Z175" s="203">
        <v>12.573385518591</v>
      </c>
      <c r="AA175" s="200">
        <v>78.685762426284754</v>
      </c>
      <c r="AB175" s="204">
        <v>7.750631844987363</v>
      </c>
      <c r="AC175" s="200">
        <v>13.563605728727884</v>
      </c>
      <c r="AD175" s="201">
        <v>77.413127413127413</v>
      </c>
      <c r="AE175" s="200">
        <v>8.8803088803088812</v>
      </c>
      <c r="AF175" s="205">
        <v>13.706563706563706</v>
      </c>
    </row>
    <row r="176" spans="1:32" x14ac:dyDescent="0.25">
      <c r="A176" s="199" t="s">
        <v>472</v>
      </c>
      <c r="B176" s="200">
        <v>74.379924131893787</v>
      </c>
      <c r="C176" s="200">
        <v>10.154654216515903</v>
      </c>
      <c r="D176" s="200">
        <v>15.465421651590312</v>
      </c>
      <c r="E176" s="201">
        <v>58.285668891007312</v>
      </c>
      <c r="F176" s="200">
        <v>15.260565618048934</v>
      </c>
      <c r="G176" s="200">
        <v>26.453765490943752</v>
      </c>
      <c r="H176" s="202">
        <v>75.337516638144137</v>
      </c>
      <c r="I176" s="200">
        <v>17.277048868606197</v>
      </c>
      <c r="J176" s="200">
        <v>7.3854344932496669</v>
      </c>
      <c r="K176" s="201">
        <v>47.406795982941254</v>
      </c>
      <c r="L176" s="200">
        <v>18.544504058329895</v>
      </c>
      <c r="M176" s="203">
        <v>34.048699958728854</v>
      </c>
      <c r="N176" s="434"/>
      <c r="O176" s="202">
        <v>76.309601567602868</v>
      </c>
      <c r="P176" s="200">
        <v>14.774657086871326</v>
      </c>
      <c r="Q176" s="200">
        <v>8.9157413455258006</v>
      </c>
      <c r="R176" s="201">
        <v>55.432996949072987</v>
      </c>
      <c r="S176" s="200">
        <v>12.274114057732927</v>
      </c>
      <c r="T176" s="200">
        <v>32.292888993194083</v>
      </c>
      <c r="U176" s="202">
        <v>72.845083818808703</v>
      </c>
      <c r="V176" s="200">
        <v>24.063726072999643</v>
      </c>
      <c r="W176" s="200">
        <v>3.091190108191654</v>
      </c>
      <c r="X176" s="201">
        <v>36.133333333333333</v>
      </c>
      <c r="Y176" s="200">
        <v>26.088888888888889</v>
      </c>
      <c r="Z176" s="203">
        <v>37.777777777777779</v>
      </c>
      <c r="AA176" s="200">
        <v>77.700077700077699</v>
      </c>
      <c r="AB176" s="204">
        <v>9.9844599844599848</v>
      </c>
      <c r="AC176" s="200">
        <v>12.315462315462316</v>
      </c>
      <c r="AD176" s="201">
        <v>35.751978891820578</v>
      </c>
      <c r="AE176" s="200">
        <v>31.398416886543533</v>
      </c>
      <c r="AF176" s="205">
        <v>32.849604221635886</v>
      </c>
    </row>
    <row r="177" spans="1:32" x14ac:dyDescent="0.25">
      <c r="A177" s="199" t="s">
        <v>473</v>
      </c>
      <c r="B177" s="200">
        <v>77.152673394889419</v>
      </c>
      <c r="C177" s="200">
        <v>12.271848829718703</v>
      </c>
      <c r="D177" s="200">
        <v>10.575477775391883</v>
      </c>
      <c r="E177" s="201">
        <v>79.071310116086238</v>
      </c>
      <c r="F177" s="200">
        <v>13.178551686014373</v>
      </c>
      <c r="G177" s="200">
        <v>7.7501381978993926</v>
      </c>
      <c r="H177" s="202">
        <v>88.991057870760926</v>
      </c>
      <c r="I177" s="200">
        <v>6.8542264214611102</v>
      </c>
      <c r="J177" s="200">
        <v>4.1547157077779655</v>
      </c>
      <c r="K177" s="201">
        <v>69.586448954677252</v>
      </c>
      <c r="L177" s="200">
        <v>24.004272852128796</v>
      </c>
      <c r="M177" s="203">
        <v>6.4092781931939573</v>
      </c>
      <c r="N177" s="434"/>
      <c r="O177" s="202">
        <v>90.208908159243194</v>
      </c>
      <c r="P177" s="200">
        <v>3.8864800945999214</v>
      </c>
      <c r="Q177" s="200">
        <v>5.9046117461568786</v>
      </c>
      <c r="R177" s="201">
        <v>70.319874147876249</v>
      </c>
      <c r="S177" s="200">
        <v>24.016780283167279</v>
      </c>
      <c r="T177" s="200">
        <v>5.6633455689564762</v>
      </c>
      <c r="U177" s="202">
        <v>89.804597701149419</v>
      </c>
      <c r="V177" s="200">
        <v>7.9540229885057476</v>
      </c>
      <c r="W177" s="200">
        <v>2.2413793103448274</v>
      </c>
      <c r="X177" s="201">
        <v>71.070931849791378</v>
      </c>
      <c r="Y177" s="200">
        <v>28.929068150208625</v>
      </c>
      <c r="Z177" s="203">
        <v>0</v>
      </c>
      <c r="AA177" s="200">
        <v>79.294016358157563</v>
      </c>
      <c r="AB177" s="204">
        <v>18.941024537236331</v>
      </c>
      <c r="AC177" s="200">
        <v>1.7649591046061126</v>
      </c>
      <c r="AD177" s="201">
        <v>65.795541890853187</v>
      </c>
      <c r="AE177" s="200">
        <v>18.524212144504226</v>
      </c>
      <c r="AF177" s="205">
        <v>15.680245964642584</v>
      </c>
    </row>
    <row r="178" spans="1:32" x14ac:dyDescent="0.25">
      <c r="A178" s="199" t="s">
        <v>474</v>
      </c>
      <c r="B178" s="200">
        <v>80.546058173529559</v>
      </c>
      <c r="C178" s="200">
        <v>8.5575541350775488</v>
      </c>
      <c r="D178" s="200">
        <v>10.896387691392896</v>
      </c>
      <c r="E178" s="201">
        <v>57.68084852818496</v>
      </c>
      <c r="F178" s="200">
        <v>17.477058753426288</v>
      </c>
      <c r="G178" s="200">
        <v>24.842092718388749</v>
      </c>
      <c r="H178" s="202">
        <v>81.14824107190519</v>
      </c>
      <c r="I178" s="200">
        <v>11.194149362088293</v>
      </c>
      <c r="J178" s="200">
        <v>7.6576095660065127</v>
      </c>
      <c r="K178" s="201">
        <v>54.609334032511804</v>
      </c>
      <c r="L178" s="200">
        <v>16.822233875196645</v>
      </c>
      <c r="M178" s="203">
        <v>28.568432092291555</v>
      </c>
      <c r="N178" s="434"/>
      <c r="O178" s="202">
        <v>77.711004990073505</v>
      </c>
      <c r="P178" s="200">
        <v>12.641519557868754</v>
      </c>
      <c r="Q178" s="200">
        <v>9.6474754520577335</v>
      </c>
      <c r="R178" s="201">
        <v>45.78125</v>
      </c>
      <c r="S178" s="200">
        <v>17.703125</v>
      </c>
      <c r="T178" s="200">
        <v>36.515625</v>
      </c>
      <c r="U178" s="202">
        <v>84.664446176741549</v>
      </c>
      <c r="V178" s="200">
        <v>9.0284175465948557</v>
      </c>
      <c r="W178" s="200">
        <v>6.3071362766635959</v>
      </c>
      <c r="X178" s="201">
        <v>78.949634093844168</v>
      </c>
      <c r="Y178" s="200">
        <v>15.368058544984933</v>
      </c>
      <c r="Z178" s="203">
        <v>5.6823073611709001</v>
      </c>
      <c r="AA178" s="200">
        <v>84.212756940029664</v>
      </c>
      <c r="AB178" s="204">
        <v>11.951684678957406</v>
      </c>
      <c r="AC178" s="200">
        <v>3.8355583810129268</v>
      </c>
      <c r="AD178" s="201">
        <v>54.556650246305416</v>
      </c>
      <c r="AE178" s="200">
        <v>14.039408866995073</v>
      </c>
      <c r="AF178" s="205">
        <v>31.403940886699505</v>
      </c>
    </row>
    <row r="179" spans="1:32" x14ac:dyDescent="0.25">
      <c r="A179" s="199" t="s">
        <v>475</v>
      </c>
      <c r="B179" s="200">
        <v>85.734684164003539</v>
      </c>
      <c r="C179" s="200">
        <v>9.4376827361120554</v>
      </c>
      <c r="D179" s="200">
        <v>4.8276330998844088</v>
      </c>
      <c r="E179" s="201">
        <v>44.90971357409714</v>
      </c>
      <c r="F179" s="200">
        <v>19.240348692403487</v>
      </c>
      <c r="G179" s="200">
        <v>35.849937733499374</v>
      </c>
      <c r="H179" s="202">
        <v>75.886071692783645</v>
      </c>
      <c r="I179" s="200">
        <v>11.749277019301903</v>
      </c>
      <c r="J179" s="200">
        <v>12.364651287914453</v>
      </c>
      <c r="K179" s="201">
        <v>67.495583639081403</v>
      </c>
      <c r="L179" s="200">
        <v>12.7870634597092</v>
      </c>
      <c r="M179" s="203">
        <v>19.717352901209402</v>
      </c>
      <c r="N179" s="434"/>
      <c r="O179" s="202">
        <v>80.165892501658917</v>
      </c>
      <c r="P179" s="200">
        <v>9.767750497677504</v>
      </c>
      <c r="Q179" s="200">
        <v>10.066357000663571</v>
      </c>
      <c r="R179" s="201">
        <v>61.325160537069465</v>
      </c>
      <c r="S179" s="200">
        <v>12.667834208990076</v>
      </c>
      <c r="T179" s="200">
        <v>26.007005253940456</v>
      </c>
      <c r="U179" s="202">
        <v>66.271138933009439</v>
      </c>
      <c r="V179" s="200">
        <v>16.425301317387646</v>
      </c>
      <c r="W179" s="200">
        <v>17.303559749602915</v>
      </c>
      <c r="X179" s="201">
        <v>67.201834862385326</v>
      </c>
      <c r="Y179" s="200">
        <v>16.475535168195719</v>
      </c>
      <c r="Z179" s="203">
        <v>16.322629969418962</v>
      </c>
      <c r="AA179" s="200">
        <v>85.573770491803288</v>
      </c>
      <c r="AB179" s="204">
        <v>6.6582597730138717</v>
      </c>
      <c r="AC179" s="200">
        <v>7.7679697351828505</v>
      </c>
      <c r="AD179" s="201">
        <v>84.13059984813971</v>
      </c>
      <c r="AE179" s="200">
        <v>5.7706909643128323</v>
      </c>
      <c r="AF179" s="205">
        <v>10.098709187547456</v>
      </c>
    </row>
    <row r="180" spans="1:32" x14ac:dyDescent="0.25">
      <c r="A180" s="199" t="s">
        <v>476</v>
      </c>
      <c r="B180" s="200">
        <v>85.438765670202514</v>
      </c>
      <c r="C180" s="200">
        <v>9.1706846673095459</v>
      </c>
      <c r="D180" s="200">
        <v>5.3905496624879454</v>
      </c>
      <c r="E180" s="201">
        <v>57.395910934525283</v>
      </c>
      <c r="F180" s="200">
        <v>16.240377452197666</v>
      </c>
      <c r="G180" s="200">
        <v>26.363711613277047</v>
      </c>
      <c r="H180" s="202">
        <v>85.730575856528276</v>
      </c>
      <c r="I180" s="200">
        <v>8.1065671487067856</v>
      </c>
      <c r="J180" s="200">
        <v>6.1628569947649403</v>
      </c>
      <c r="K180" s="201">
        <v>52.167338709677423</v>
      </c>
      <c r="L180" s="200">
        <v>24.075940860215052</v>
      </c>
      <c r="M180" s="203">
        <v>23.756720430107528</v>
      </c>
      <c r="N180" s="434"/>
      <c r="O180" s="202">
        <v>84.493366660257635</v>
      </c>
      <c r="P180" s="200">
        <v>9.1520861372812909</v>
      </c>
      <c r="Q180" s="200">
        <v>6.354547202461065</v>
      </c>
      <c r="R180" s="201">
        <v>49.75845410628019</v>
      </c>
      <c r="S180" s="200">
        <v>25.944870701903948</v>
      </c>
      <c r="T180" s="200">
        <v>24.296675191815854</v>
      </c>
      <c r="U180" s="202">
        <v>88.532306375695342</v>
      </c>
      <c r="V180" s="200">
        <v>6.218799030095564</v>
      </c>
      <c r="W180" s="200">
        <v>5.2488945942090997</v>
      </c>
      <c r="X180" s="201">
        <v>59.422657952069713</v>
      </c>
      <c r="Y180" s="200">
        <v>20.806100217864923</v>
      </c>
      <c r="Z180" s="203">
        <v>19.77124183006536</v>
      </c>
      <c r="AA180" s="200">
        <v>82.118147951037784</v>
      </c>
      <c r="AB180" s="204">
        <v>9.3666844065992549</v>
      </c>
      <c r="AC180" s="200">
        <v>8.5151676423629592</v>
      </c>
      <c r="AD180" s="201">
        <v>43.812709030100336</v>
      </c>
      <c r="AE180" s="200">
        <v>23.244147157190636</v>
      </c>
      <c r="AF180" s="205">
        <v>32.943143812709032</v>
      </c>
    </row>
    <row r="181" spans="1:32" x14ac:dyDescent="0.25">
      <c r="A181" s="199" t="s">
        <v>477</v>
      </c>
      <c r="B181" s="200">
        <v>70.631108166307769</v>
      </c>
      <c r="C181" s="200">
        <v>18.81729335762796</v>
      </c>
      <c r="D181" s="200">
        <v>10.551598476064271</v>
      </c>
      <c r="E181" s="201">
        <v>47.842622043977315</v>
      </c>
      <c r="F181" s="200">
        <v>13.041073157239664</v>
      </c>
      <c r="G181" s="200">
        <v>39.11630479878302</v>
      </c>
      <c r="H181" s="202">
        <v>77.314440936788785</v>
      </c>
      <c r="I181" s="200">
        <v>15.828500110124072</v>
      </c>
      <c r="J181" s="200">
        <v>6.8570589530871446</v>
      </c>
      <c r="K181" s="201">
        <v>40.011198208286672</v>
      </c>
      <c r="L181" s="200">
        <v>30.582306830907051</v>
      </c>
      <c r="M181" s="203">
        <v>29.406494960806274</v>
      </c>
      <c r="N181" s="434"/>
      <c r="O181" s="202">
        <v>79.995833911956666</v>
      </c>
      <c r="P181" s="200">
        <v>12.442716289404251</v>
      </c>
      <c r="Q181" s="200">
        <v>7.5614497986390781</v>
      </c>
      <c r="R181" s="201">
        <v>40.570490457623642</v>
      </c>
      <c r="S181" s="200">
        <v>27.457418428073055</v>
      </c>
      <c r="T181" s="200">
        <v>31.972091114303304</v>
      </c>
      <c r="U181" s="202">
        <v>75.943915873810724</v>
      </c>
      <c r="V181" s="200">
        <v>18.808212318477715</v>
      </c>
      <c r="W181" s="200">
        <v>5.2478718077115678</v>
      </c>
      <c r="X181" s="201">
        <v>31.039874902267396</v>
      </c>
      <c r="Y181" s="200">
        <v>37.724784988272084</v>
      </c>
      <c r="Z181" s="203">
        <v>31.23534010946052</v>
      </c>
      <c r="AA181" s="200">
        <v>68.581436077057788</v>
      </c>
      <c r="AB181" s="204">
        <v>22.486865148861646</v>
      </c>
      <c r="AC181" s="200">
        <v>8.9316987740805605</v>
      </c>
      <c r="AD181" s="201">
        <v>53.502334889926615</v>
      </c>
      <c r="AE181" s="200">
        <v>28.552368245497</v>
      </c>
      <c r="AF181" s="205">
        <v>17.945296864576385</v>
      </c>
    </row>
    <row r="182" spans="1:32" x14ac:dyDescent="0.25">
      <c r="A182" s="199" t="s">
        <v>478</v>
      </c>
      <c r="B182" s="200">
        <v>47.231389805647233</v>
      </c>
      <c r="C182" s="200">
        <v>28.725094731695393</v>
      </c>
      <c r="D182" s="200">
        <v>24.043515462657378</v>
      </c>
      <c r="E182" s="201">
        <v>53.432206823891725</v>
      </c>
      <c r="F182" s="200">
        <v>24.993921711645999</v>
      </c>
      <c r="G182" s="200">
        <v>21.573871464462275</v>
      </c>
      <c r="H182" s="202">
        <v>59.024390243902438</v>
      </c>
      <c r="I182" s="200">
        <v>19.18557794273595</v>
      </c>
      <c r="J182" s="200">
        <v>21.790031813361612</v>
      </c>
      <c r="K182" s="201">
        <v>55.334158415841586</v>
      </c>
      <c r="L182" s="200">
        <v>19.665841584158418</v>
      </c>
      <c r="M182" s="203">
        <v>25</v>
      </c>
      <c r="N182" s="434"/>
      <c r="O182" s="202">
        <v>51.447465099191767</v>
      </c>
      <c r="P182" s="200">
        <v>23.512123438648054</v>
      </c>
      <c r="Q182" s="200">
        <v>25.040411462160179</v>
      </c>
      <c r="R182" s="201">
        <v>53.57987166497805</v>
      </c>
      <c r="S182" s="200">
        <v>23.150962512664641</v>
      </c>
      <c r="T182" s="200">
        <v>23.269165822357312</v>
      </c>
      <c r="U182" s="202">
        <v>64.306298888431456</v>
      </c>
      <c r="V182" s="200">
        <v>15.561959654178676</v>
      </c>
      <c r="W182" s="200">
        <v>20.131741457389872</v>
      </c>
      <c r="X182" s="201">
        <v>66.742596810933946</v>
      </c>
      <c r="Y182" s="200">
        <v>8.4851936218678823</v>
      </c>
      <c r="Z182" s="203">
        <v>24.772209567198178</v>
      </c>
      <c r="AA182" s="200">
        <v>83.152782966006725</v>
      </c>
      <c r="AB182" s="204">
        <v>7.0601419499439668</v>
      </c>
      <c r="AC182" s="200">
        <v>9.7870750840493077</v>
      </c>
      <c r="AD182" s="201">
        <v>31.265508684863523</v>
      </c>
      <c r="AE182" s="200">
        <v>17.369727047146402</v>
      </c>
      <c r="AF182" s="205">
        <v>51.364764267990068</v>
      </c>
    </row>
    <row r="183" spans="1:32" x14ac:dyDescent="0.25">
      <c r="A183" s="199" t="s">
        <v>479</v>
      </c>
      <c r="B183" s="200">
        <v>75.169488994415076</v>
      </c>
      <c r="C183" s="200">
        <v>18.815518322730938</v>
      </c>
      <c r="D183" s="200">
        <v>6.0149926828539853</v>
      </c>
      <c r="E183" s="201">
        <v>42.971841266182629</v>
      </c>
      <c r="F183" s="200">
        <v>26.157274019438365</v>
      </c>
      <c r="G183" s="200">
        <v>30.870884714379009</v>
      </c>
      <c r="H183" s="202">
        <v>70.332722126288431</v>
      </c>
      <c r="I183" s="200">
        <v>18.101223007494703</v>
      </c>
      <c r="J183" s="200">
        <v>11.566054866216865</v>
      </c>
      <c r="K183" s="201">
        <v>48.806004093700253</v>
      </c>
      <c r="L183" s="200">
        <v>21.886134485634145</v>
      </c>
      <c r="M183" s="203">
        <v>29.307861420665603</v>
      </c>
      <c r="N183" s="434"/>
      <c r="O183" s="202">
        <v>72.862881878484004</v>
      </c>
      <c r="P183" s="200">
        <v>17.51424745414344</v>
      </c>
      <c r="Q183" s="200">
        <v>9.6228706673725526</v>
      </c>
      <c r="R183" s="201">
        <v>48.549883990719259</v>
      </c>
      <c r="S183" s="200">
        <v>16.763341067285385</v>
      </c>
      <c r="T183" s="200">
        <v>34.68677494199536</v>
      </c>
      <c r="U183" s="202">
        <v>69.003542452291171</v>
      </c>
      <c r="V183" s="200">
        <v>17.580847903096789</v>
      </c>
      <c r="W183" s="200">
        <v>13.415609644612045</v>
      </c>
      <c r="X183" s="201">
        <v>55.233611010503438</v>
      </c>
      <c r="Y183" s="200">
        <v>35.639261137269109</v>
      </c>
      <c r="Z183" s="203">
        <v>9.1271278522274546</v>
      </c>
      <c r="AA183" s="200">
        <v>61.484529797287003</v>
      </c>
      <c r="AB183" s="204">
        <v>22.374638012498092</v>
      </c>
      <c r="AC183" s="200">
        <v>16.140832190214908</v>
      </c>
      <c r="AD183" s="201">
        <v>40.254003313086692</v>
      </c>
      <c r="AE183" s="200">
        <v>25.289895085588071</v>
      </c>
      <c r="AF183" s="205">
        <v>34.456101601325237</v>
      </c>
    </row>
    <row r="184" spans="1:32" x14ac:dyDescent="0.25">
      <c r="A184" s="199" t="s">
        <v>480</v>
      </c>
      <c r="B184" s="200">
        <v>63.045851528384276</v>
      </c>
      <c r="C184" s="200">
        <v>27.520014556040756</v>
      </c>
      <c r="D184" s="200">
        <v>9.4341339155749626</v>
      </c>
      <c r="E184" s="201">
        <v>53.789701636188646</v>
      </c>
      <c r="F184" s="200">
        <v>14.605389797882578</v>
      </c>
      <c r="G184" s="200">
        <v>31.604908565928781</v>
      </c>
      <c r="H184" s="202">
        <v>76.25518849149941</v>
      </c>
      <c r="I184" s="200">
        <v>10.450901233865924</v>
      </c>
      <c r="J184" s="200">
        <v>13.293910274634674</v>
      </c>
      <c r="K184" s="201">
        <v>42.527422303473493</v>
      </c>
      <c r="L184" s="200">
        <v>21.709323583180986</v>
      </c>
      <c r="M184" s="203">
        <v>35.763254113345525</v>
      </c>
      <c r="N184" s="434"/>
      <c r="O184" s="202">
        <v>73.086294416243661</v>
      </c>
      <c r="P184" s="200">
        <v>11.00507614213198</v>
      </c>
      <c r="Q184" s="200">
        <v>15.908629441624367</v>
      </c>
      <c r="R184" s="201">
        <v>50.579304834198958</v>
      </c>
      <c r="S184" s="200">
        <v>20.49540551338394</v>
      </c>
      <c r="T184" s="200">
        <v>28.925289652417103</v>
      </c>
      <c r="U184" s="202">
        <v>80.884676145339654</v>
      </c>
      <c r="V184" s="200">
        <v>7.2669826224328586</v>
      </c>
      <c r="W184" s="200">
        <v>11.848341232227488</v>
      </c>
      <c r="X184" s="201">
        <v>37.919075144508668</v>
      </c>
      <c r="Y184" s="200">
        <v>14.104046242774567</v>
      </c>
      <c r="Z184" s="203">
        <v>47.97687861271676</v>
      </c>
      <c r="AA184" s="200">
        <v>78.627450980392155</v>
      </c>
      <c r="AB184" s="204">
        <v>16.666666666666664</v>
      </c>
      <c r="AC184" s="200">
        <v>4.7058823529411766</v>
      </c>
      <c r="AD184" s="201">
        <v>26.488095238095237</v>
      </c>
      <c r="AE184" s="200">
        <v>31.25</v>
      </c>
      <c r="AF184" s="205">
        <v>42.261904761904759</v>
      </c>
    </row>
    <row r="185" spans="1:32" x14ac:dyDescent="0.25">
      <c r="A185" s="199" t="s">
        <v>481</v>
      </c>
      <c r="B185" s="200">
        <v>80.679270662083397</v>
      </c>
      <c r="C185" s="200">
        <v>13.023090718876102</v>
      </c>
      <c r="D185" s="200">
        <v>6.2976386190405016</v>
      </c>
      <c r="E185" s="201">
        <v>55.13255343282254</v>
      </c>
      <c r="F185" s="200">
        <v>19.6455974912706</v>
      </c>
      <c r="G185" s="200">
        <v>25.221849075906853</v>
      </c>
      <c r="H185" s="202">
        <v>75.593325395142472</v>
      </c>
      <c r="I185" s="200">
        <v>14.427390020715416</v>
      </c>
      <c r="J185" s="200">
        <v>9.9792845841421052</v>
      </c>
      <c r="K185" s="201">
        <v>54.963958060288334</v>
      </c>
      <c r="L185" s="200">
        <v>20.6301878549585</v>
      </c>
      <c r="M185" s="203">
        <v>24.405854084753166</v>
      </c>
      <c r="N185" s="434"/>
      <c r="O185" s="202">
        <v>77.566529069535079</v>
      </c>
      <c r="P185" s="200">
        <v>13.48337701043112</v>
      </c>
      <c r="Q185" s="200">
        <v>8.9500939200337992</v>
      </c>
      <c r="R185" s="201">
        <v>60.654405399197898</v>
      </c>
      <c r="S185" s="200">
        <v>21.208105863853994</v>
      </c>
      <c r="T185" s="200">
        <v>18.137488736948111</v>
      </c>
      <c r="U185" s="202">
        <v>72.461205451053317</v>
      </c>
      <c r="V185" s="200">
        <v>15.718016727132303</v>
      </c>
      <c r="W185" s="200">
        <v>11.820777821814374</v>
      </c>
      <c r="X185" s="201">
        <v>51.435746777862015</v>
      </c>
      <c r="Y185" s="200">
        <v>20.233131159969673</v>
      </c>
      <c r="Z185" s="203">
        <v>28.331122062168308</v>
      </c>
      <c r="AA185" s="200">
        <v>74.459570081557175</v>
      </c>
      <c r="AB185" s="204">
        <v>15.589849316314467</v>
      </c>
      <c r="AC185" s="200">
        <v>9.9505806021283689</v>
      </c>
      <c r="AD185" s="201">
        <v>37.096657763661298</v>
      </c>
      <c r="AE185" s="200">
        <v>18.86955894030174</v>
      </c>
      <c r="AF185" s="205">
        <v>44.033783296036958</v>
      </c>
    </row>
    <row r="186" spans="1:32" x14ac:dyDescent="0.25">
      <c r="A186" s="199" t="s">
        <v>482</v>
      </c>
      <c r="B186" s="200">
        <v>73.922955063560138</v>
      </c>
      <c r="C186" s="200">
        <v>14.50484911711294</v>
      </c>
      <c r="D186" s="200">
        <v>11.57219581932692</v>
      </c>
      <c r="E186" s="201">
        <v>53.881613410162387</v>
      </c>
      <c r="F186" s="200">
        <v>19.95285489785228</v>
      </c>
      <c r="G186" s="200">
        <v>26.165531691985333</v>
      </c>
      <c r="H186" s="202">
        <v>83.849665742703408</v>
      </c>
      <c r="I186" s="200">
        <v>9.5331268003695868</v>
      </c>
      <c r="J186" s="200">
        <v>6.617207456927007</v>
      </c>
      <c r="K186" s="201">
        <v>56.509149872596709</v>
      </c>
      <c r="L186" s="200">
        <v>5.7563122538800098</v>
      </c>
      <c r="M186" s="203">
        <v>37.73453787352328</v>
      </c>
      <c r="N186" s="434"/>
      <c r="O186" s="202">
        <v>84.591194968553467</v>
      </c>
      <c r="P186" s="200">
        <v>9.7854236034036255</v>
      </c>
      <c r="Q186" s="200">
        <v>5.6233814280429151</v>
      </c>
      <c r="R186" s="201">
        <v>58.723404255319146</v>
      </c>
      <c r="S186" s="200">
        <v>5.1450676982591874</v>
      </c>
      <c r="T186" s="200">
        <v>36.131528046421664</v>
      </c>
      <c r="U186" s="202">
        <v>83.431491425601948</v>
      </c>
      <c r="V186" s="200">
        <v>10.92153126623939</v>
      </c>
      <c r="W186" s="200">
        <v>5.6469773081586698</v>
      </c>
      <c r="X186" s="201">
        <v>36.337543053960964</v>
      </c>
      <c r="Y186" s="200">
        <v>13.260619977037887</v>
      </c>
      <c r="Z186" s="203">
        <v>50.401836969001145</v>
      </c>
      <c r="AA186" s="200">
        <v>80.777716492002199</v>
      </c>
      <c r="AB186" s="204">
        <v>3.6127964699393269</v>
      </c>
      <c r="AC186" s="200">
        <v>15.609487038058468</v>
      </c>
      <c r="AD186" s="201">
        <v>70.267131242741002</v>
      </c>
      <c r="AE186" s="200">
        <v>0</v>
      </c>
      <c r="AF186" s="205">
        <v>29.732868757259002</v>
      </c>
    </row>
    <row r="187" spans="1:32" x14ac:dyDescent="0.25">
      <c r="A187" s="199" t="s">
        <v>483</v>
      </c>
      <c r="B187" s="200">
        <v>74.469182498065848</v>
      </c>
      <c r="C187" s="200">
        <v>12.794062867130862</v>
      </c>
      <c r="D187" s="200">
        <v>12.73675463480329</v>
      </c>
      <c r="E187" s="201">
        <v>54.188442954343749</v>
      </c>
      <c r="F187" s="200">
        <v>25.963908884725374</v>
      </c>
      <c r="G187" s="200">
        <v>19.847648160930873</v>
      </c>
      <c r="H187" s="202">
        <v>82.954289574420173</v>
      </c>
      <c r="I187" s="200">
        <v>10.706024441669566</v>
      </c>
      <c r="J187" s="200">
        <v>6.3396859839102575</v>
      </c>
      <c r="K187" s="201">
        <v>47.70946565963154</v>
      </c>
      <c r="L187" s="200">
        <v>21.28891084915649</v>
      </c>
      <c r="M187" s="203">
        <v>31.001623491211973</v>
      </c>
      <c r="N187" s="434"/>
      <c r="O187" s="202">
        <v>82.192456553084924</v>
      </c>
      <c r="P187" s="200">
        <v>10.431054109433104</v>
      </c>
      <c r="Q187" s="200">
        <v>7.376489337481976</v>
      </c>
      <c r="R187" s="201">
        <v>52.281746031746032</v>
      </c>
      <c r="S187" s="200">
        <v>17.945326278659614</v>
      </c>
      <c r="T187" s="200">
        <v>29.772927689594358</v>
      </c>
      <c r="U187" s="202">
        <v>83.783941947565538</v>
      </c>
      <c r="V187" s="200">
        <v>10.381554307116104</v>
      </c>
      <c r="W187" s="200">
        <v>5.8345037453183517</v>
      </c>
      <c r="X187" s="201">
        <v>36.807028173280827</v>
      </c>
      <c r="Y187" s="200">
        <v>38.139957588609512</v>
      </c>
      <c r="Z187" s="203">
        <v>25.053014238109661</v>
      </c>
      <c r="AA187" s="200">
        <v>84.029574861367834</v>
      </c>
      <c r="AB187" s="204">
        <v>13.068391866913123</v>
      </c>
      <c r="AC187" s="200">
        <v>2.9020332717190391</v>
      </c>
      <c r="AD187" s="201">
        <v>44.617958728388174</v>
      </c>
      <c r="AE187" s="200">
        <v>7.2504182933630785</v>
      </c>
      <c r="AF187" s="205">
        <v>48.131622978248743</v>
      </c>
    </row>
    <row r="188" spans="1:32" x14ac:dyDescent="0.25">
      <c r="A188" s="199" t="s">
        <v>484</v>
      </c>
      <c r="B188" s="200">
        <v>85.19744620477654</v>
      </c>
      <c r="C188" s="200">
        <v>7.1783265209607139</v>
      </c>
      <c r="D188" s="200">
        <v>7.6242272742627435</v>
      </c>
      <c r="E188" s="201">
        <v>57.619191309595649</v>
      </c>
      <c r="F188" s="200">
        <v>21.031985515992758</v>
      </c>
      <c r="G188" s="200">
        <v>21.348823174411589</v>
      </c>
      <c r="H188" s="202">
        <v>80.951202153665264</v>
      </c>
      <c r="I188" s="200">
        <v>12.343348701921588</v>
      </c>
      <c r="J188" s="200">
        <v>6.7054491444131576</v>
      </c>
      <c r="K188" s="201">
        <v>56.139283813578658</v>
      </c>
      <c r="L188" s="200">
        <v>28.305329582604728</v>
      </c>
      <c r="M188" s="203">
        <v>15.55538660381662</v>
      </c>
      <c r="N188" s="434"/>
      <c r="O188" s="202">
        <v>81.52103138429483</v>
      </c>
      <c r="P188" s="200">
        <v>11.427269175673915</v>
      </c>
      <c r="Q188" s="200">
        <v>7.0516994400312543</v>
      </c>
      <c r="R188" s="201">
        <v>52.795275590551185</v>
      </c>
      <c r="S188" s="200">
        <v>30.052493438320209</v>
      </c>
      <c r="T188" s="200">
        <v>17.15223097112861</v>
      </c>
      <c r="U188" s="202">
        <v>81.619610063910685</v>
      </c>
      <c r="V188" s="200">
        <v>13.134050643151848</v>
      </c>
      <c r="W188" s="200">
        <v>5.2463392929374644</v>
      </c>
      <c r="X188" s="201">
        <v>61.022787493375731</v>
      </c>
      <c r="Y188" s="200">
        <v>25.304716481187068</v>
      </c>
      <c r="Z188" s="203">
        <v>13.672496025437203</v>
      </c>
      <c r="AA188" s="200">
        <v>77.25097868638538</v>
      </c>
      <c r="AB188" s="204">
        <v>13.277511961722489</v>
      </c>
      <c r="AC188" s="200">
        <v>9.4715093518921272</v>
      </c>
      <c r="AD188" s="201">
        <v>60.147811256395677</v>
      </c>
      <c r="AE188" s="200">
        <v>27.17453098351336</v>
      </c>
      <c r="AF188" s="205">
        <v>12.677657760090961</v>
      </c>
    </row>
    <row r="189" spans="1:32" x14ac:dyDescent="0.25">
      <c r="A189" s="199" t="s">
        <v>485</v>
      </c>
      <c r="B189" s="200">
        <v>73.925209870262023</v>
      </c>
      <c r="C189" s="200">
        <v>15.015263291783262</v>
      </c>
      <c r="D189" s="200">
        <v>11.059526837954719</v>
      </c>
      <c r="E189" s="201">
        <v>52.527271213256718</v>
      </c>
      <c r="F189" s="200">
        <v>20.209842618036472</v>
      </c>
      <c r="G189" s="200">
        <v>27.2628861687068</v>
      </c>
      <c r="H189" s="202">
        <v>66.392158067787236</v>
      </c>
      <c r="I189" s="200">
        <v>19.463479089205052</v>
      </c>
      <c r="J189" s="200">
        <v>14.144362843007713</v>
      </c>
      <c r="K189" s="201">
        <v>37.650418111360388</v>
      </c>
      <c r="L189" s="200">
        <v>15.623087905364063</v>
      </c>
      <c r="M189" s="203">
        <v>46.726493983275546</v>
      </c>
      <c r="N189" s="434"/>
      <c r="O189" s="202">
        <v>67.610629433622336</v>
      </c>
      <c r="P189" s="200">
        <v>16.794279923432047</v>
      </c>
      <c r="Q189" s="200">
        <v>15.595090642945614</v>
      </c>
      <c r="R189" s="201">
        <v>37.131345688960515</v>
      </c>
      <c r="S189" s="200">
        <v>11.506849315068493</v>
      </c>
      <c r="T189" s="200">
        <v>51.361804995970992</v>
      </c>
      <c r="U189" s="202">
        <v>66.894427870272352</v>
      </c>
      <c r="V189" s="200">
        <v>20.373400057742277</v>
      </c>
      <c r="W189" s="200">
        <v>12.732172071985373</v>
      </c>
      <c r="X189" s="201">
        <v>50.851788756388416</v>
      </c>
      <c r="Y189" s="200">
        <v>21.465076660988075</v>
      </c>
      <c r="Z189" s="203">
        <v>27.683134582623509</v>
      </c>
      <c r="AA189" s="200">
        <v>60.28239580961057</v>
      </c>
      <c r="AB189" s="204">
        <v>28.102937827374173</v>
      </c>
      <c r="AC189" s="200">
        <v>11.614666363015258</v>
      </c>
      <c r="AD189" s="201">
        <v>15.47049441786284</v>
      </c>
      <c r="AE189" s="200">
        <v>25.039872408293462</v>
      </c>
      <c r="AF189" s="205">
        <v>59.4896331738437</v>
      </c>
    </row>
    <row r="190" spans="1:32" x14ac:dyDescent="0.25">
      <c r="A190" s="199" t="s">
        <v>486</v>
      </c>
      <c r="B190" s="200">
        <v>80.941714721441173</v>
      </c>
      <c r="C190" s="200">
        <v>11.653481389696422</v>
      </c>
      <c r="D190" s="200">
        <v>7.4048038888624133</v>
      </c>
      <c r="E190" s="201">
        <v>54.790067975297127</v>
      </c>
      <c r="F190" s="200">
        <v>19.813173923488929</v>
      </c>
      <c r="G190" s="200">
        <v>25.396758101213944</v>
      </c>
      <c r="H190" s="202">
        <v>77.950805404174986</v>
      </c>
      <c r="I190" s="200">
        <v>12.46267557543216</v>
      </c>
      <c r="J190" s="200">
        <v>9.5865190203928599</v>
      </c>
      <c r="K190" s="201">
        <v>49.539105788627019</v>
      </c>
      <c r="L190" s="200">
        <v>25.947961085718664</v>
      </c>
      <c r="M190" s="203">
        <v>24.512933125654314</v>
      </c>
      <c r="N190" s="434"/>
      <c r="O190" s="202">
        <v>77.117331000874671</v>
      </c>
      <c r="P190" s="200">
        <v>12.230413594901911</v>
      </c>
      <c r="Q190" s="200">
        <v>10.652255404223416</v>
      </c>
      <c r="R190" s="201">
        <v>50.856798415568761</v>
      </c>
      <c r="S190" s="200">
        <v>23.163695858090072</v>
      </c>
      <c r="T190" s="200">
        <v>25.979505726341166</v>
      </c>
      <c r="U190" s="202">
        <v>79.377327857893235</v>
      </c>
      <c r="V190" s="200">
        <v>12.829720179543502</v>
      </c>
      <c r="W190" s="200">
        <v>7.7929519625632704</v>
      </c>
      <c r="X190" s="201">
        <v>44.989669421487605</v>
      </c>
      <c r="Y190" s="200">
        <v>35.821280991735534</v>
      </c>
      <c r="Z190" s="203">
        <v>19.189049586776861</v>
      </c>
      <c r="AA190" s="200">
        <v>77.480713738884631</v>
      </c>
      <c r="AB190" s="204">
        <v>12.425652199517108</v>
      </c>
      <c r="AC190" s="200">
        <v>10.093634061598257</v>
      </c>
      <c r="AD190" s="201">
        <v>54.68641518167091</v>
      </c>
      <c r="AE190" s="200">
        <v>14.37167322379079</v>
      </c>
      <c r="AF190" s="205">
        <v>30.941911594538301</v>
      </c>
    </row>
    <row r="191" spans="1:32" x14ac:dyDescent="0.25">
      <c r="A191" s="199" t="s">
        <v>487</v>
      </c>
      <c r="B191" s="200">
        <v>79.355524079320119</v>
      </c>
      <c r="C191" s="200">
        <v>14.270538243626063</v>
      </c>
      <c r="D191" s="200">
        <v>6.3739376770538243</v>
      </c>
      <c r="E191" s="201">
        <v>57.908428720083251</v>
      </c>
      <c r="F191" s="200">
        <v>16.250433576135968</v>
      </c>
      <c r="G191" s="200">
        <v>25.841137703780788</v>
      </c>
      <c r="H191" s="202">
        <v>82.996190726389074</v>
      </c>
      <c r="I191" s="200">
        <v>9.7267831341127007</v>
      </c>
      <c r="J191" s="200">
        <v>7.2770261394982274</v>
      </c>
      <c r="K191" s="201">
        <v>49.722530521642625</v>
      </c>
      <c r="L191" s="200">
        <v>19.089900110987791</v>
      </c>
      <c r="M191" s="203">
        <v>31.187569367369587</v>
      </c>
      <c r="N191" s="434"/>
      <c r="O191" s="202">
        <v>80.850505315658225</v>
      </c>
      <c r="P191" s="200">
        <v>11.681323008268802</v>
      </c>
      <c r="Q191" s="200">
        <v>7.4681716760729753</v>
      </c>
      <c r="R191" s="201">
        <v>48.780487804878049</v>
      </c>
      <c r="S191" s="200">
        <v>11.606391925988225</v>
      </c>
      <c r="T191" s="200">
        <v>39.613120269133731</v>
      </c>
      <c r="U191" s="202">
        <v>84.956750658142155</v>
      </c>
      <c r="V191" s="200">
        <v>6.788266265513351</v>
      </c>
      <c r="W191" s="200">
        <v>8.2549830763444909</v>
      </c>
      <c r="X191" s="201">
        <v>69.597989949748737</v>
      </c>
      <c r="Y191" s="200">
        <v>30.402010050251256</v>
      </c>
      <c r="Z191" s="203">
        <v>0</v>
      </c>
      <c r="AA191" s="200">
        <v>85.576923076923066</v>
      </c>
      <c r="AB191" s="204">
        <v>10.052447552447552</v>
      </c>
      <c r="AC191" s="200">
        <v>4.3706293706293708</v>
      </c>
      <c r="AD191" s="201">
        <v>18.13953488372093</v>
      </c>
      <c r="AE191" s="200">
        <v>39.534883720930232</v>
      </c>
      <c r="AF191" s="205">
        <v>42.325581395348841</v>
      </c>
    </row>
    <row r="192" spans="1:32" x14ac:dyDescent="0.25">
      <c r="A192" s="199" t="s">
        <v>488</v>
      </c>
      <c r="B192" s="200">
        <v>84.010708201508891</v>
      </c>
      <c r="C192" s="200">
        <v>10.472945566642331</v>
      </c>
      <c r="D192" s="200">
        <v>5.5163462318487868</v>
      </c>
      <c r="E192" s="201">
        <v>61.403508771929829</v>
      </c>
      <c r="F192" s="200">
        <v>19.639807483310044</v>
      </c>
      <c r="G192" s="200">
        <v>18.956683744760131</v>
      </c>
      <c r="H192" s="202">
        <v>76.504870889522266</v>
      </c>
      <c r="I192" s="200">
        <v>17.450121240481558</v>
      </c>
      <c r="J192" s="200">
        <v>6.0450078699961711</v>
      </c>
      <c r="K192" s="201">
        <v>48.716169326856352</v>
      </c>
      <c r="L192" s="200">
        <v>24.115197779319917</v>
      </c>
      <c r="M192" s="203">
        <v>27.168632893823734</v>
      </c>
      <c r="N192" s="434"/>
      <c r="O192" s="202">
        <v>84.165695981362845</v>
      </c>
      <c r="P192" s="200">
        <v>11.917588817705301</v>
      </c>
      <c r="Q192" s="200">
        <v>3.9167152009318578</v>
      </c>
      <c r="R192" s="201">
        <v>71.267816954238555</v>
      </c>
      <c r="S192" s="200">
        <v>18.529632408102024</v>
      </c>
      <c r="T192" s="200">
        <v>10.202550637659416</v>
      </c>
      <c r="U192" s="202">
        <v>67.411865864144445</v>
      </c>
      <c r="V192" s="200">
        <v>23.449207714040043</v>
      </c>
      <c r="W192" s="200">
        <v>9.1389264218155013</v>
      </c>
      <c r="X192" s="201">
        <v>31.148804934464145</v>
      </c>
      <c r="Y192" s="200">
        <v>2.3901310717039324</v>
      </c>
      <c r="Z192" s="203">
        <v>66.461063993831914</v>
      </c>
      <c r="AA192" s="200">
        <v>57.37100737100738</v>
      </c>
      <c r="AB192" s="204">
        <v>34.152334152334149</v>
      </c>
      <c r="AC192" s="200">
        <v>8.4766584766584767</v>
      </c>
      <c r="AD192" s="201">
        <v>27.968923418423973</v>
      </c>
      <c r="AE192" s="200">
        <v>48.057713651498332</v>
      </c>
      <c r="AF192" s="205">
        <v>23.973362930077691</v>
      </c>
    </row>
    <row r="193" spans="1:32" x14ac:dyDescent="0.25">
      <c r="A193" s="199" t="s">
        <v>489</v>
      </c>
      <c r="B193" s="200">
        <v>83.634783328504611</v>
      </c>
      <c r="C193" s="200">
        <v>8.880013244484914</v>
      </c>
      <c r="D193" s="200">
        <v>7.4852034270104717</v>
      </c>
      <c r="E193" s="201">
        <v>55.98906937908</v>
      </c>
      <c r="F193" s="200">
        <v>22.946713223015031</v>
      </c>
      <c r="G193" s="200">
        <v>21.064217397904965</v>
      </c>
      <c r="H193" s="202">
        <v>81.37741498830961</v>
      </c>
      <c r="I193" s="200">
        <v>10.679956793415098</v>
      </c>
      <c r="J193" s="200">
        <v>7.9426282182752912</v>
      </c>
      <c r="K193" s="201">
        <v>57.008393285371703</v>
      </c>
      <c r="L193" s="200">
        <v>16.282973621103118</v>
      </c>
      <c r="M193" s="203">
        <v>26.708633093525179</v>
      </c>
      <c r="N193" s="434"/>
      <c r="O193" s="202">
        <v>80.823718747874977</v>
      </c>
      <c r="P193" s="200">
        <v>10.943627173198541</v>
      </c>
      <c r="Q193" s="200">
        <v>8.2326540789264904</v>
      </c>
      <c r="R193" s="201">
        <v>58.708055313799434</v>
      </c>
      <c r="S193" s="200">
        <v>12.484285852432068</v>
      </c>
      <c r="T193" s="200">
        <v>28.807658833768496</v>
      </c>
      <c r="U193" s="202">
        <v>81.991371370400884</v>
      </c>
      <c r="V193" s="200">
        <v>11.764991032042271</v>
      </c>
      <c r="W193" s="200">
        <v>6.2436375975568374</v>
      </c>
      <c r="X193" s="201">
        <v>50.799481417458949</v>
      </c>
      <c r="Y193" s="200">
        <v>25.194468452895418</v>
      </c>
      <c r="Z193" s="203">
        <v>24.006050129645633</v>
      </c>
      <c r="AA193" s="200">
        <v>82.769304099142033</v>
      </c>
      <c r="AB193" s="204">
        <v>6.6253574833174458</v>
      </c>
      <c r="AC193" s="200">
        <v>10.605338417540516</v>
      </c>
      <c r="AD193" s="201">
        <v>63.492990654205606</v>
      </c>
      <c r="AE193" s="200">
        <v>15.128504672897197</v>
      </c>
      <c r="AF193" s="205">
        <v>21.378504672897197</v>
      </c>
    </row>
    <row r="194" spans="1:32" x14ac:dyDescent="0.25">
      <c r="A194" s="199" t="s">
        <v>490</v>
      </c>
      <c r="B194" s="200">
        <v>84.475631538657822</v>
      </c>
      <c r="C194" s="200">
        <v>12.120438887471293</v>
      </c>
      <c r="D194" s="200">
        <v>3.4039295738708857</v>
      </c>
      <c r="E194" s="201">
        <v>38.225691447442486</v>
      </c>
      <c r="F194" s="200">
        <v>25.954141179119599</v>
      </c>
      <c r="G194" s="200">
        <v>35.820167373437911</v>
      </c>
      <c r="H194" s="202">
        <v>83.755485410732149</v>
      </c>
      <c r="I194" s="200">
        <v>10.25868042189545</v>
      </c>
      <c r="J194" s="200">
        <v>5.985834167372392</v>
      </c>
      <c r="K194" s="201">
        <v>48.50144530655713</v>
      </c>
      <c r="L194" s="200">
        <v>23.322683706070286</v>
      </c>
      <c r="M194" s="203">
        <v>28.175870987372587</v>
      </c>
      <c r="N194" s="434"/>
      <c r="O194" s="202">
        <v>83.377741340438618</v>
      </c>
      <c r="P194" s="200">
        <v>9.8654095784655329</v>
      </c>
      <c r="Q194" s="200">
        <v>6.7568490810958535</v>
      </c>
      <c r="R194" s="201">
        <v>53.119349005424951</v>
      </c>
      <c r="S194" s="200">
        <v>27.712477396021701</v>
      </c>
      <c r="T194" s="200">
        <v>19.168173598553345</v>
      </c>
      <c r="U194" s="202">
        <v>84.980188211986132</v>
      </c>
      <c r="V194" s="200">
        <v>13.001485884101042</v>
      </c>
      <c r="W194" s="200">
        <v>2.0183259039128281</v>
      </c>
      <c r="X194" s="201">
        <v>55.790645879732736</v>
      </c>
      <c r="Y194" s="200">
        <v>1.4476614699331849</v>
      </c>
      <c r="Z194" s="203">
        <v>42.761692650334076</v>
      </c>
      <c r="AA194" s="200">
        <v>82.419601837672289</v>
      </c>
      <c r="AB194" s="204">
        <v>5.2373660030627871</v>
      </c>
      <c r="AC194" s="200">
        <v>12.343032159264931</v>
      </c>
      <c r="AD194" s="201">
        <v>26.916932907348247</v>
      </c>
      <c r="AE194" s="200">
        <v>23.482428115015974</v>
      </c>
      <c r="AF194" s="205">
        <v>49.600638977635782</v>
      </c>
    </row>
    <row r="195" spans="1:32" x14ac:dyDescent="0.25">
      <c r="A195" s="199" t="s">
        <v>491</v>
      </c>
      <c r="B195" s="200">
        <v>78.678621086445801</v>
      </c>
      <c r="C195" s="200">
        <v>12.360358632593375</v>
      </c>
      <c r="D195" s="200">
        <v>8.9610202809608275</v>
      </c>
      <c r="E195" s="201">
        <v>48.427106430155206</v>
      </c>
      <c r="F195" s="200">
        <v>24.521895787139687</v>
      </c>
      <c r="G195" s="200">
        <v>27.0509977827051</v>
      </c>
      <c r="H195" s="202">
        <v>83.577535421890587</v>
      </c>
      <c r="I195" s="200">
        <v>9.1809915108304878</v>
      </c>
      <c r="J195" s="200">
        <v>7.2414730672789345</v>
      </c>
      <c r="K195" s="201">
        <v>63.63512778684067</v>
      </c>
      <c r="L195" s="200">
        <v>16.585100598151172</v>
      </c>
      <c r="M195" s="203">
        <v>19.779771615008158</v>
      </c>
      <c r="N195" s="434"/>
      <c r="O195" s="202">
        <v>83.339681157843188</v>
      </c>
      <c r="P195" s="200">
        <v>8.4117743076337135</v>
      </c>
      <c r="Q195" s="200">
        <v>8.2485445345230968</v>
      </c>
      <c r="R195" s="201">
        <v>62.727458597423833</v>
      </c>
      <c r="S195" s="200">
        <v>20.588836638724185</v>
      </c>
      <c r="T195" s="200">
        <v>16.683704763851974</v>
      </c>
      <c r="U195" s="202">
        <v>86.137461965276529</v>
      </c>
      <c r="V195" s="200">
        <v>8.2602470019688568</v>
      </c>
      <c r="W195" s="200">
        <v>5.6022910327546089</v>
      </c>
      <c r="X195" s="201">
        <v>71.145038167938935</v>
      </c>
      <c r="Y195" s="200">
        <v>8.7531806615776091</v>
      </c>
      <c r="Z195" s="203">
        <v>20.101781170483459</v>
      </c>
      <c r="AA195" s="200">
        <v>76.747463359639241</v>
      </c>
      <c r="AB195" s="204">
        <v>16.065388951521982</v>
      </c>
      <c r="AC195" s="200">
        <v>7.1871476888387829</v>
      </c>
      <c r="AD195" s="201">
        <v>42.8</v>
      </c>
      <c r="AE195" s="200">
        <v>8.4</v>
      </c>
      <c r="AF195" s="205">
        <v>48.8</v>
      </c>
    </row>
    <row r="196" spans="1:32" x14ac:dyDescent="0.25">
      <c r="A196" s="199" t="s">
        <v>492</v>
      </c>
      <c r="B196" s="200">
        <v>63.994615102190679</v>
      </c>
      <c r="C196" s="200">
        <v>21.429445600293722</v>
      </c>
      <c r="D196" s="200">
        <v>14.575939297515603</v>
      </c>
      <c r="E196" s="201">
        <v>54.095940959409596</v>
      </c>
      <c r="F196" s="200">
        <v>26.88560885608856</v>
      </c>
      <c r="G196" s="200">
        <v>19.018450184501845</v>
      </c>
      <c r="H196" s="202">
        <v>74.78611531949025</v>
      </c>
      <c r="I196" s="200">
        <v>15.170216558239016</v>
      </c>
      <c r="J196" s="200">
        <v>10.043668122270741</v>
      </c>
      <c r="K196" s="201">
        <v>55.981329518933975</v>
      </c>
      <c r="L196" s="200">
        <v>22.156139426334413</v>
      </c>
      <c r="M196" s="203">
        <v>21.862531054731612</v>
      </c>
      <c r="N196" s="434"/>
      <c r="O196" s="202">
        <v>70.772408544871439</v>
      </c>
      <c r="P196" s="200">
        <v>16.035223134206664</v>
      </c>
      <c r="Q196" s="200">
        <v>13.19236832092189</v>
      </c>
      <c r="R196" s="201">
        <v>50.860042074000745</v>
      </c>
      <c r="S196" s="200">
        <v>26.320999876252937</v>
      </c>
      <c r="T196" s="200">
        <v>22.818958049746318</v>
      </c>
      <c r="U196" s="202">
        <v>80.018226293827041</v>
      </c>
      <c r="V196" s="200">
        <v>11.645642476857402</v>
      </c>
      <c r="W196" s="200">
        <v>8.3361312293155549</v>
      </c>
      <c r="X196" s="201">
        <v>66.597991243883598</v>
      </c>
      <c r="Y196" s="200">
        <v>15.271697141385527</v>
      </c>
      <c r="Z196" s="203">
        <v>18.130311614730878</v>
      </c>
      <c r="AA196" s="200">
        <v>68.547099521021821</v>
      </c>
      <c r="AB196" s="204">
        <v>25.368103601206315</v>
      </c>
      <c r="AC196" s="200">
        <v>6.084796877771864</v>
      </c>
      <c r="AD196" s="201">
        <v>56.13636363636364</v>
      </c>
      <c r="AE196" s="200">
        <v>16.893939393939394</v>
      </c>
      <c r="AF196" s="205">
        <v>26.969696969696972</v>
      </c>
    </row>
    <row r="197" spans="1:32" x14ac:dyDescent="0.25">
      <c r="A197" s="199" t="s">
        <v>493</v>
      </c>
      <c r="B197" s="200">
        <v>64.298555163459611</v>
      </c>
      <c r="C197" s="200">
        <v>22.711232438910713</v>
      </c>
      <c r="D197" s="200">
        <v>12.990212397629669</v>
      </c>
      <c r="E197" s="201">
        <v>51.333203370372779</v>
      </c>
      <c r="F197" s="200">
        <v>24.582493989213074</v>
      </c>
      <c r="G197" s="200">
        <v>24.084302640414148</v>
      </c>
      <c r="H197" s="202">
        <v>75.051747114921127</v>
      </c>
      <c r="I197" s="200">
        <v>14.68767426254454</v>
      </c>
      <c r="J197" s="200">
        <v>10.260578622534332</v>
      </c>
      <c r="K197" s="201">
        <v>53.481873111782477</v>
      </c>
      <c r="L197" s="200">
        <v>19.580815709969787</v>
      </c>
      <c r="M197" s="203">
        <v>26.937311178247736</v>
      </c>
      <c r="N197" s="434"/>
      <c r="O197" s="202">
        <v>74.962105263157895</v>
      </c>
      <c r="P197" s="200">
        <v>15.924210526315791</v>
      </c>
      <c r="Q197" s="200">
        <v>9.1136842105263156</v>
      </c>
      <c r="R197" s="201">
        <v>53.854763315557307</v>
      </c>
      <c r="S197" s="200">
        <v>19.816972809269867</v>
      </c>
      <c r="T197" s="200">
        <v>26.328263875172826</v>
      </c>
      <c r="U197" s="202">
        <v>75.481742691388916</v>
      </c>
      <c r="V197" s="200">
        <v>13.855079058127631</v>
      </c>
      <c r="W197" s="200">
        <v>10.663178250483449</v>
      </c>
      <c r="X197" s="201">
        <v>48.179643901142704</v>
      </c>
      <c r="Y197" s="200">
        <v>21.286207812915229</v>
      </c>
      <c r="Z197" s="203">
        <v>30.53414828594207</v>
      </c>
      <c r="AA197" s="200">
        <v>74.031223863953173</v>
      </c>
      <c r="AB197" s="204">
        <v>13.144689155282965</v>
      </c>
      <c r="AC197" s="200">
        <v>12.824086980763868</v>
      </c>
      <c r="AD197" s="201">
        <v>62.57636122177955</v>
      </c>
      <c r="AE197" s="200">
        <v>15.219123505976096</v>
      </c>
      <c r="AF197" s="205">
        <v>22.204515272244358</v>
      </c>
    </row>
    <row r="198" spans="1:32" x14ac:dyDescent="0.25">
      <c r="A198" s="199" t="s">
        <v>494</v>
      </c>
      <c r="B198" s="200">
        <v>72.738838068698129</v>
      </c>
      <c r="C198" s="200">
        <v>18.626441307728033</v>
      </c>
      <c r="D198" s="200">
        <v>8.6347206235738376</v>
      </c>
      <c r="E198" s="201">
        <v>52.847667291707481</v>
      </c>
      <c r="F198" s="200">
        <v>23.467017435840027</v>
      </c>
      <c r="G198" s="200">
        <v>23.685315272452492</v>
      </c>
      <c r="H198" s="202">
        <v>79.459846980149734</v>
      </c>
      <c r="I198" s="200">
        <v>13.717724211689211</v>
      </c>
      <c r="J198" s="200">
        <v>6.8224288081610585</v>
      </c>
      <c r="K198" s="201">
        <v>47.902259105578608</v>
      </c>
      <c r="L198" s="200">
        <v>22.616203529066599</v>
      </c>
      <c r="M198" s="203">
        <v>29.481537365354793</v>
      </c>
      <c r="N198" s="434"/>
      <c r="O198" s="202">
        <v>79.387594978526593</v>
      </c>
      <c r="P198" s="200">
        <v>15.498017839444994</v>
      </c>
      <c r="Q198" s="200">
        <v>5.1143871820284108</v>
      </c>
      <c r="R198" s="201">
        <v>58.675599572774054</v>
      </c>
      <c r="S198" s="200">
        <v>22.14778133799398</v>
      </c>
      <c r="T198" s="200">
        <v>19.176619089231963</v>
      </c>
      <c r="U198" s="202">
        <v>82.677760968229947</v>
      </c>
      <c r="V198" s="200">
        <v>11.267199769469057</v>
      </c>
      <c r="W198" s="200">
        <v>6.055039262300987</v>
      </c>
      <c r="X198" s="201">
        <v>46.255442670537015</v>
      </c>
      <c r="Y198" s="200">
        <v>26.676342525399129</v>
      </c>
      <c r="Z198" s="203">
        <v>27.06821480406386</v>
      </c>
      <c r="AA198" s="200">
        <v>69.807713932306299</v>
      </c>
      <c r="AB198" s="204">
        <v>11.672101652985495</v>
      </c>
      <c r="AC198" s="200">
        <v>18.520184414708197</v>
      </c>
      <c r="AD198" s="201">
        <v>32.968515742128936</v>
      </c>
      <c r="AE198" s="200">
        <v>19.145427286356824</v>
      </c>
      <c r="AF198" s="205">
        <v>47.886056971514243</v>
      </c>
    </row>
    <row r="199" spans="1:32" x14ac:dyDescent="0.25">
      <c r="A199" s="199" t="s">
        <v>495</v>
      </c>
      <c r="B199" s="200">
        <v>77.413388668350777</v>
      </c>
      <c r="C199" s="200">
        <v>15.123150487188742</v>
      </c>
      <c r="D199" s="200">
        <v>7.4634608444604833</v>
      </c>
      <c r="E199" s="201">
        <v>40.334741336240178</v>
      </c>
      <c r="F199" s="200">
        <v>18.231366671208612</v>
      </c>
      <c r="G199" s="200">
        <v>41.43389199255121</v>
      </c>
      <c r="H199" s="202">
        <v>76.505516549648945</v>
      </c>
      <c r="I199" s="200">
        <v>13.465730524908057</v>
      </c>
      <c r="J199" s="200">
        <v>10.028752925442996</v>
      </c>
      <c r="K199" s="201">
        <v>49.908925318761383</v>
      </c>
      <c r="L199" s="200">
        <v>24.971021692333167</v>
      </c>
      <c r="M199" s="203">
        <v>25.120052988905449</v>
      </c>
      <c r="N199" s="434"/>
      <c r="O199" s="202">
        <v>79.251145280537045</v>
      </c>
      <c r="P199" s="200">
        <v>12.947339774118927</v>
      </c>
      <c r="Q199" s="200">
        <v>7.8015149453440378</v>
      </c>
      <c r="R199" s="201">
        <v>59.49488770427336</v>
      </c>
      <c r="S199" s="200">
        <v>22.799965044131785</v>
      </c>
      <c r="T199" s="200">
        <v>17.705147251594859</v>
      </c>
      <c r="U199" s="202">
        <v>71.895926636809563</v>
      </c>
      <c r="V199" s="200">
        <v>13.580720835999147</v>
      </c>
      <c r="W199" s="200">
        <v>14.5233525271913</v>
      </c>
      <c r="X199" s="201">
        <v>49.731327243417518</v>
      </c>
      <c r="Y199" s="200">
        <v>24.476088124664159</v>
      </c>
      <c r="Z199" s="203">
        <v>25.792584631918324</v>
      </c>
      <c r="AA199" s="200">
        <v>74.709784411276942</v>
      </c>
      <c r="AB199" s="204">
        <v>16.252072968490879</v>
      </c>
      <c r="AC199" s="200">
        <v>9.0381426202321737</v>
      </c>
      <c r="AD199" s="201">
        <v>12.974254742547425</v>
      </c>
      <c r="AE199" s="200">
        <v>34.010840108401084</v>
      </c>
      <c r="AF199" s="205">
        <v>53.014905149051494</v>
      </c>
    </row>
    <row r="200" spans="1:32" x14ac:dyDescent="0.25">
      <c r="A200" s="199" t="s">
        <v>496</v>
      </c>
      <c r="B200" s="200">
        <v>69.882606935636218</v>
      </c>
      <c r="C200" s="200">
        <v>13.686861871992084</v>
      </c>
      <c r="D200" s="200">
        <v>16.430531192371699</v>
      </c>
      <c r="E200" s="201">
        <v>34.968726688471911</v>
      </c>
      <c r="F200" s="200">
        <v>26.349916795776668</v>
      </c>
      <c r="G200" s="200">
        <v>38.681356515751418</v>
      </c>
      <c r="H200" s="202">
        <v>65.901669502828497</v>
      </c>
      <c r="I200" s="200">
        <v>19.160189486271445</v>
      </c>
      <c r="J200" s="200">
        <v>14.938141010900061</v>
      </c>
      <c r="K200" s="201">
        <v>40.807707535964099</v>
      </c>
      <c r="L200" s="200">
        <v>33.892041705160352</v>
      </c>
      <c r="M200" s="203">
        <v>25.300250758875542</v>
      </c>
      <c r="N200" s="434"/>
      <c r="O200" s="202">
        <v>69.152832982620211</v>
      </c>
      <c r="P200" s="200">
        <v>18.400748187982231</v>
      </c>
      <c r="Q200" s="200">
        <v>12.446418829397553</v>
      </c>
      <c r="R200" s="201">
        <v>35.305958132045092</v>
      </c>
      <c r="S200" s="200">
        <v>39.875201288244767</v>
      </c>
      <c r="T200" s="200">
        <v>24.818840579710145</v>
      </c>
      <c r="U200" s="202">
        <v>62.648251013361353</v>
      </c>
      <c r="V200" s="200">
        <v>18.76595105839964</v>
      </c>
      <c r="W200" s="200">
        <v>18.585797928239003</v>
      </c>
      <c r="X200" s="201">
        <v>42.348008385744237</v>
      </c>
      <c r="Y200" s="200">
        <v>26.310272536687627</v>
      </c>
      <c r="Z200" s="203">
        <v>31.341719077568136</v>
      </c>
      <c r="AA200" s="200">
        <v>56.996890270990676</v>
      </c>
      <c r="AB200" s="204">
        <v>24.655708573967125</v>
      </c>
      <c r="AC200" s="200">
        <v>18.347401155042203</v>
      </c>
      <c r="AD200" s="201">
        <v>75.606276747503571</v>
      </c>
      <c r="AE200" s="200">
        <v>12.125534950071327</v>
      </c>
      <c r="AF200" s="205">
        <v>12.268188302425106</v>
      </c>
    </row>
    <row r="201" spans="1:32" x14ac:dyDescent="0.25">
      <c r="A201" s="199" t="s">
        <v>497</v>
      </c>
      <c r="B201" s="200">
        <v>59.450192492781518</v>
      </c>
      <c r="C201" s="200">
        <v>24.067613089509145</v>
      </c>
      <c r="D201" s="200">
        <v>16.482194417709337</v>
      </c>
      <c r="E201" s="201">
        <v>44.970720837435877</v>
      </c>
      <c r="F201" s="200">
        <v>28.061356687568018</v>
      </c>
      <c r="G201" s="200">
        <v>26.967922474996115</v>
      </c>
      <c r="H201" s="202">
        <v>82.454779560050881</v>
      </c>
      <c r="I201" s="200">
        <v>9.4567341999937948</v>
      </c>
      <c r="J201" s="200">
        <v>8.0884862399553228</v>
      </c>
      <c r="K201" s="201">
        <v>46.351545650611072</v>
      </c>
      <c r="L201" s="200">
        <v>25.233644859813083</v>
      </c>
      <c r="M201" s="203">
        <v>28.414809489575845</v>
      </c>
      <c r="N201" s="434"/>
      <c r="O201" s="202">
        <v>80.457057333640336</v>
      </c>
      <c r="P201" s="200">
        <v>10.597513239696063</v>
      </c>
      <c r="Q201" s="200">
        <v>8.9454294266635959</v>
      </c>
      <c r="R201" s="201">
        <v>51.658456486042695</v>
      </c>
      <c r="S201" s="200">
        <v>9.5238095238095237</v>
      </c>
      <c r="T201" s="200">
        <v>38.817733990147786</v>
      </c>
      <c r="U201" s="202">
        <v>83.806528391703509</v>
      </c>
      <c r="V201" s="200">
        <v>8.5770146208772537</v>
      </c>
      <c r="W201" s="200">
        <v>7.6164569874192454</v>
      </c>
      <c r="X201" s="201">
        <v>39.848866498740556</v>
      </c>
      <c r="Y201" s="200">
        <v>44.030226700251887</v>
      </c>
      <c r="Z201" s="203">
        <v>16.120906801007557</v>
      </c>
      <c r="AA201" s="200">
        <v>88.529886914378025</v>
      </c>
      <c r="AB201" s="204">
        <v>6.3974151857835215</v>
      </c>
      <c r="AC201" s="200">
        <v>5.0726978998384489</v>
      </c>
      <c r="AD201" s="201">
        <v>40.262172284644194</v>
      </c>
      <c r="AE201" s="200">
        <v>44.943820224719097</v>
      </c>
      <c r="AF201" s="205">
        <v>14.794007490636703</v>
      </c>
    </row>
    <row r="202" spans="1:32" x14ac:dyDescent="0.25">
      <c r="A202" s="199" t="s">
        <v>498</v>
      </c>
      <c r="B202" s="200">
        <v>66.805475716214588</v>
      </c>
      <c r="C202" s="200">
        <v>20.903573386094141</v>
      </c>
      <c r="D202" s="200">
        <v>12.290950897691269</v>
      </c>
      <c r="E202" s="201">
        <v>53.022907660690244</v>
      </c>
      <c r="F202" s="200">
        <v>22.419123378924244</v>
      </c>
      <c r="G202" s="200">
        <v>24.557968960385516</v>
      </c>
      <c r="H202" s="202">
        <v>67.506182166371659</v>
      </c>
      <c r="I202" s="200">
        <v>17.897755972433906</v>
      </c>
      <c r="J202" s="200">
        <v>14.596061861194443</v>
      </c>
      <c r="K202" s="201">
        <v>46.512328985751402</v>
      </c>
      <c r="L202" s="200">
        <v>25.037461319525107</v>
      </c>
      <c r="M202" s="203">
        <v>28.450209694723494</v>
      </c>
      <c r="N202" s="434"/>
      <c r="O202" s="202">
        <v>66.124616956077631</v>
      </c>
      <c r="P202" s="200">
        <v>19.231869254341163</v>
      </c>
      <c r="Q202" s="200">
        <v>14.643513789581206</v>
      </c>
      <c r="R202" s="201">
        <v>51.686222914373168</v>
      </c>
      <c r="S202" s="200">
        <v>23.447359235292538</v>
      </c>
      <c r="T202" s="200">
        <v>24.86641785033429</v>
      </c>
      <c r="U202" s="202">
        <v>69.437733362618062</v>
      </c>
      <c r="V202" s="200">
        <v>15.991897893940504</v>
      </c>
      <c r="W202" s="200">
        <v>14.570368743441442</v>
      </c>
      <c r="X202" s="201">
        <v>39.899272523782876</v>
      </c>
      <c r="Y202" s="200">
        <v>25.583462260113894</v>
      </c>
      <c r="Z202" s="203">
        <v>34.517265216103226</v>
      </c>
      <c r="AA202" s="200">
        <v>67.967612029817488</v>
      </c>
      <c r="AB202" s="204">
        <v>17.594893325336301</v>
      </c>
      <c r="AC202" s="200">
        <v>14.437494644846199</v>
      </c>
      <c r="AD202" s="201">
        <v>23.212932558726951</v>
      </c>
      <c r="AE202" s="200">
        <v>37.900985097246782</v>
      </c>
      <c r="AF202" s="205">
        <v>38.886082344026271</v>
      </c>
    </row>
    <row r="203" spans="1:32" x14ac:dyDescent="0.25">
      <c r="A203" s="199" t="s">
        <v>499</v>
      </c>
      <c r="B203" s="200">
        <v>83.276757188498408</v>
      </c>
      <c r="C203" s="200">
        <v>14.167332268370608</v>
      </c>
      <c r="D203" s="200">
        <v>2.5559105431309903</v>
      </c>
      <c r="E203" s="201">
        <v>33.260764392839867</v>
      </c>
      <c r="F203" s="200">
        <v>19.817368166424771</v>
      </c>
      <c r="G203" s="200">
        <v>46.921867440735369</v>
      </c>
      <c r="H203" s="202">
        <v>84.87316003758221</v>
      </c>
      <c r="I203" s="200">
        <v>7.3520200438459122</v>
      </c>
      <c r="J203" s="200">
        <v>7.7748199185718763</v>
      </c>
      <c r="K203" s="201">
        <v>61.053984575835472</v>
      </c>
      <c r="L203" s="200">
        <v>15.745501285347045</v>
      </c>
      <c r="M203" s="203">
        <v>23.200514138817478</v>
      </c>
      <c r="N203" s="434"/>
      <c r="O203" s="202">
        <v>85.354268373136293</v>
      </c>
      <c r="P203" s="200">
        <v>5.290935479614725</v>
      </c>
      <c r="Q203" s="200">
        <v>9.354796147248976</v>
      </c>
      <c r="R203" s="201">
        <v>66.857914276071554</v>
      </c>
      <c r="S203" s="200">
        <v>16.841039487006412</v>
      </c>
      <c r="T203" s="200">
        <v>16.301046236922037</v>
      </c>
      <c r="U203" s="202">
        <v>78.737713398861871</v>
      </c>
      <c r="V203" s="200">
        <v>13.916192446973616</v>
      </c>
      <c r="W203" s="200">
        <v>7.3460941541645104</v>
      </c>
      <c r="X203" s="201">
        <v>28.571428571428569</v>
      </c>
      <c r="Y203" s="200">
        <v>23.251231527093598</v>
      </c>
      <c r="Z203" s="203">
        <v>48.177339901477836</v>
      </c>
      <c r="AA203" s="200">
        <v>100</v>
      </c>
      <c r="AB203" s="204">
        <v>0</v>
      </c>
      <c r="AC203" s="200">
        <v>0</v>
      </c>
      <c r="AD203" s="201">
        <v>83.913043478260875</v>
      </c>
      <c r="AE203" s="200">
        <v>0</v>
      </c>
      <c r="AF203" s="205">
        <v>16.086956521739129</v>
      </c>
    </row>
    <row r="204" spans="1:32" x14ac:dyDescent="0.25">
      <c r="A204" s="199" t="s">
        <v>500</v>
      </c>
      <c r="B204" s="200">
        <v>73.83070301291248</v>
      </c>
      <c r="C204" s="200">
        <v>12.864658058345288</v>
      </c>
      <c r="D204" s="200">
        <v>13.304638928742229</v>
      </c>
      <c r="E204" s="201">
        <v>57.628079904215767</v>
      </c>
      <c r="F204" s="200">
        <v>23.120549499023252</v>
      </c>
      <c r="G204" s="200">
        <v>19.251370596760982</v>
      </c>
      <c r="H204" s="202">
        <v>80.854587611791985</v>
      </c>
      <c r="I204" s="200">
        <v>11.467373302418018</v>
      </c>
      <c r="J204" s="200">
        <v>7.6780390857899965</v>
      </c>
      <c r="K204" s="201">
        <v>63.8947815019092</v>
      </c>
      <c r="L204" s="200">
        <v>14.40390326686466</v>
      </c>
      <c r="M204" s="203">
        <v>21.701315231226133</v>
      </c>
      <c r="N204" s="434"/>
      <c r="O204" s="202">
        <v>83.087068018073026</v>
      </c>
      <c r="P204" s="200">
        <v>10.514104286237636</v>
      </c>
      <c r="Q204" s="200">
        <v>6.3988276956893397</v>
      </c>
      <c r="R204" s="201">
        <v>63.91123439667129</v>
      </c>
      <c r="S204" s="200">
        <v>13.75866851595007</v>
      </c>
      <c r="T204" s="200">
        <v>22.330097087378643</v>
      </c>
      <c r="U204" s="202">
        <v>76.640557006092251</v>
      </c>
      <c r="V204" s="200">
        <v>13.594429939077459</v>
      </c>
      <c r="W204" s="200">
        <v>9.7650130548302876</v>
      </c>
      <c r="X204" s="201">
        <v>68.152866242038215</v>
      </c>
      <c r="Y204" s="200">
        <v>14.543524416135881</v>
      </c>
      <c r="Z204" s="203">
        <v>17.303609341825901</v>
      </c>
      <c r="AA204" s="200">
        <v>86.034482758620683</v>
      </c>
      <c r="AB204" s="204">
        <v>7.6724137931034484</v>
      </c>
      <c r="AC204" s="200">
        <v>6.2931034482758621</v>
      </c>
      <c r="AD204" s="201">
        <v>39.880952380952387</v>
      </c>
      <c r="AE204" s="200">
        <v>27.380952380952383</v>
      </c>
      <c r="AF204" s="205">
        <v>32.738095238095241</v>
      </c>
    </row>
    <row r="205" spans="1:32" x14ac:dyDescent="0.25">
      <c r="A205" s="199" t="s">
        <v>501</v>
      </c>
      <c r="B205" s="200">
        <v>76.266885588476754</v>
      </c>
      <c r="C205" s="200">
        <v>14.083140532875587</v>
      </c>
      <c r="D205" s="200">
        <v>9.6499738786476605</v>
      </c>
      <c r="E205" s="201">
        <v>61.015589179275565</v>
      </c>
      <c r="F205" s="200">
        <v>13.709307657038055</v>
      </c>
      <c r="G205" s="200">
        <v>25.275103163686381</v>
      </c>
      <c r="H205" s="202">
        <v>76.037405026300405</v>
      </c>
      <c r="I205" s="200">
        <v>13.555147365784419</v>
      </c>
      <c r="J205" s="200">
        <v>10.407447607915172</v>
      </c>
      <c r="K205" s="201">
        <v>45.060658578856149</v>
      </c>
      <c r="L205" s="200">
        <v>32.535055931936348</v>
      </c>
      <c r="M205" s="203">
        <v>22.404285489207499</v>
      </c>
      <c r="N205" s="434"/>
      <c r="O205" s="202">
        <v>77.412593275760884</v>
      </c>
      <c r="P205" s="200">
        <v>13.817389117129203</v>
      </c>
      <c r="Q205" s="200">
        <v>8.770017607109919</v>
      </c>
      <c r="R205" s="201">
        <v>42.572786690433752</v>
      </c>
      <c r="S205" s="200">
        <v>30.124777183600713</v>
      </c>
      <c r="T205" s="200">
        <v>27.302436125965539</v>
      </c>
      <c r="U205" s="202">
        <v>77.891941814823369</v>
      </c>
      <c r="V205" s="200">
        <v>10.517201570076194</v>
      </c>
      <c r="W205" s="200">
        <v>11.590856615100439</v>
      </c>
      <c r="X205" s="201">
        <v>45.50063371356147</v>
      </c>
      <c r="Y205" s="200">
        <v>50.50697084917617</v>
      </c>
      <c r="Z205" s="203">
        <v>3.9923954372623576</v>
      </c>
      <c r="AA205" s="200">
        <v>66.389301634472503</v>
      </c>
      <c r="AB205" s="204">
        <v>20.445765230312034</v>
      </c>
      <c r="AC205" s="200">
        <v>13.164933135215454</v>
      </c>
      <c r="AD205" s="201">
        <v>50.534568781183175</v>
      </c>
      <c r="AE205" s="200">
        <v>18.104062722736991</v>
      </c>
      <c r="AF205" s="205">
        <v>31.361368496079827</v>
      </c>
    </row>
    <row r="206" spans="1:32" x14ac:dyDescent="0.25">
      <c r="A206" s="199" t="s">
        <v>502</v>
      </c>
      <c r="B206" s="200">
        <v>74.345114345114354</v>
      </c>
      <c r="C206" s="200">
        <v>15.072765072765074</v>
      </c>
      <c r="D206" s="200">
        <v>10.582120582120583</v>
      </c>
      <c r="E206" s="201">
        <v>55.884035857333593</v>
      </c>
      <c r="F206" s="200">
        <v>15.067709326721342</v>
      </c>
      <c r="G206" s="200">
        <v>29.048254815945068</v>
      </c>
      <c r="H206" s="202">
        <v>77.440783148326204</v>
      </c>
      <c r="I206" s="200">
        <v>12.297876059784983</v>
      </c>
      <c r="J206" s="200">
        <v>10.26134079188882</v>
      </c>
      <c r="K206" s="201">
        <v>54.034690799396678</v>
      </c>
      <c r="L206" s="200">
        <v>31.787330316742079</v>
      </c>
      <c r="M206" s="203">
        <v>14.177978883861236</v>
      </c>
      <c r="N206" s="434"/>
      <c r="O206" s="202">
        <v>74.897266392710378</v>
      </c>
      <c r="P206" s="200">
        <v>14.150437734500626</v>
      </c>
      <c r="Q206" s="200">
        <v>10.952295872788994</v>
      </c>
      <c r="R206" s="201">
        <v>57.142857142857139</v>
      </c>
      <c r="S206" s="200">
        <v>28.110599078341014</v>
      </c>
      <c r="T206" s="200">
        <v>14.746543778801843</v>
      </c>
      <c r="U206" s="202">
        <v>77.893339234343884</v>
      </c>
      <c r="V206" s="200">
        <v>12.14870546581102</v>
      </c>
      <c r="W206" s="200">
        <v>9.9579552998450982</v>
      </c>
      <c r="X206" s="201">
        <v>53.63849765258216</v>
      </c>
      <c r="Y206" s="200">
        <v>40.140845070422536</v>
      </c>
      <c r="Z206" s="203">
        <v>6.220657276995305</v>
      </c>
      <c r="AA206" s="200">
        <v>86.576168929110111</v>
      </c>
      <c r="AB206" s="204">
        <v>4.9773755656108598</v>
      </c>
      <c r="AC206" s="200">
        <v>8.4464555052790349</v>
      </c>
      <c r="AD206" s="201">
        <v>38.078291814946617</v>
      </c>
      <c r="AE206" s="200">
        <v>26.334519572953734</v>
      </c>
      <c r="AF206" s="205">
        <v>35.587188612099645</v>
      </c>
    </row>
    <row r="207" spans="1:32" x14ac:dyDescent="0.25">
      <c r="A207" s="199" t="s">
        <v>503</v>
      </c>
      <c r="B207" s="200">
        <v>81.003817860135953</v>
      </c>
      <c r="C207" s="200">
        <v>12.226464289039948</v>
      </c>
      <c r="D207" s="200">
        <v>6.7697178508240992</v>
      </c>
      <c r="E207" s="201">
        <v>45.768096210574086</v>
      </c>
      <c r="F207" s="200">
        <v>24.120717041071025</v>
      </c>
      <c r="G207" s="200">
        <v>30.111186748354889</v>
      </c>
      <c r="H207" s="202">
        <v>78.177838577291382</v>
      </c>
      <c r="I207" s="200">
        <v>12.569083447332421</v>
      </c>
      <c r="J207" s="200">
        <v>9.2530779753761969</v>
      </c>
      <c r="K207" s="201">
        <v>69.455452810802882</v>
      </c>
      <c r="L207" s="200">
        <v>19.051812710993687</v>
      </c>
      <c r="M207" s="203">
        <v>11.492734478203435</v>
      </c>
      <c r="N207" s="434"/>
      <c r="O207" s="202">
        <v>80.22806339389254</v>
      </c>
      <c r="P207" s="200">
        <v>15.848473134905298</v>
      </c>
      <c r="Q207" s="200">
        <v>3.9234634712021648</v>
      </c>
      <c r="R207" s="201">
        <v>71.405622489959839</v>
      </c>
      <c r="S207" s="200">
        <v>13.119143239625167</v>
      </c>
      <c r="T207" s="200">
        <v>15.475234270414992</v>
      </c>
      <c r="U207" s="202">
        <v>76.537162162162161</v>
      </c>
      <c r="V207" s="200">
        <v>9.1385135135135123</v>
      </c>
      <c r="W207" s="200">
        <v>14.324324324324325</v>
      </c>
      <c r="X207" s="201">
        <v>56.694813027744274</v>
      </c>
      <c r="Y207" s="200">
        <v>37.092882991556095</v>
      </c>
      <c r="Z207" s="203">
        <v>6.2123039806996383</v>
      </c>
      <c r="AA207" s="200">
        <v>72.446437468858988</v>
      </c>
      <c r="AB207" s="204">
        <v>5.7797708021923269</v>
      </c>
      <c r="AC207" s="200">
        <v>21.77379172894868</v>
      </c>
      <c r="AD207" s="201">
        <v>79.225352112676063</v>
      </c>
      <c r="AE207" s="200">
        <v>13.59154929577465</v>
      </c>
      <c r="AF207" s="205">
        <v>7.183098591549296</v>
      </c>
    </row>
    <row r="208" spans="1:32" x14ac:dyDescent="0.25">
      <c r="A208" s="199" t="s">
        <v>504</v>
      </c>
      <c r="B208" s="200">
        <v>84.408705907580142</v>
      </c>
      <c r="C208" s="200">
        <v>10.552160394553448</v>
      </c>
      <c r="D208" s="200">
        <v>5.0391336978664096</v>
      </c>
      <c r="E208" s="201">
        <v>57.595123208957979</v>
      </c>
      <c r="F208" s="200">
        <v>20.195955652141883</v>
      </c>
      <c r="G208" s="200">
        <v>22.208921138900141</v>
      </c>
      <c r="H208" s="202">
        <v>76.556974603267378</v>
      </c>
      <c r="I208" s="200">
        <v>14.026653417891691</v>
      </c>
      <c r="J208" s="200">
        <v>9.4163719788409281</v>
      </c>
      <c r="K208" s="201">
        <v>51.806217982688572</v>
      </c>
      <c r="L208" s="200">
        <v>22.880233174350824</v>
      </c>
      <c r="M208" s="203">
        <v>25.313548842960611</v>
      </c>
      <c r="N208" s="434"/>
      <c r="O208" s="202">
        <v>77.091481821761391</v>
      </c>
      <c r="P208" s="200">
        <v>12.518703241895263</v>
      </c>
      <c r="Q208" s="200">
        <v>10.389814936343351</v>
      </c>
      <c r="R208" s="201">
        <v>51.412307248883124</v>
      </c>
      <c r="S208" s="200">
        <v>20.226257385790461</v>
      </c>
      <c r="T208" s="200">
        <v>28.361435365326415</v>
      </c>
      <c r="U208" s="202">
        <v>76.459684893419833</v>
      </c>
      <c r="V208" s="200">
        <v>16.454629707641754</v>
      </c>
      <c r="W208" s="200">
        <v>7.085685398938411</v>
      </c>
      <c r="X208" s="201">
        <v>52.176905868181031</v>
      </c>
      <c r="Y208" s="200">
        <v>27.774909654104285</v>
      </c>
      <c r="Z208" s="203">
        <v>20.048184477714678</v>
      </c>
      <c r="AA208" s="200">
        <v>73.822148159369789</v>
      </c>
      <c r="AB208" s="204">
        <v>13.997879109225874</v>
      </c>
      <c r="AC208" s="200">
        <v>12.179972731404334</v>
      </c>
      <c r="AD208" s="201">
        <v>52.911306702775896</v>
      </c>
      <c r="AE208" s="200">
        <v>25.727826675693976</v>
      </c>
      <c r="AF208" s="205">
        <v>21.360866621530128</v>
      </c>
    </row>
    <row r="209" spans="1:32" x14ac:dyDescent="0.25">
      <c r="A209" s="199" t="s">
        <v>505</v>
      </c>
      <c r="B209" s="200">
        <v>88.647779787020298</v>
      </c>
      <c r="C209" s="200">
        <v>4.6313039983926059</v>
      </c>
      <c r="D209" s="200">
        <v>6.7209162145871009</v>
      </c>
      <c r="E209" s="201">
        <v>48.649917821084756</v>
      </c>
      <c r="F209" s="200">
        <v>25.851138764968301</v>
      </c>
      <c r="G209" s="200">
        <v>25.498943413946932</v>
      </c>
      <c r="H209" s="202">
        <v>81.837911931006914</v>
      </c>
      <c r="I209" s="200">
        <v>12.77628648123822</v>
      </c>
      <c r="J209" s="200">
        <v>5.3858015877548686</v>
      </c>
      <c r="K209" s="201">
        <v>49.350057012542756</v>
      </c>
      <c r="L209" s="200">
        <v>21.68757126567845</v>
      </c>
      <c r="M209" s="203">
        <v>28.962371721778791</v>
      </c>
      <c r="N209" s="434"/>
      <c r="O209" s="202">
        <v>79.030684159167294</v>
      </c>
      <c r="P209" s="200">
        <v>16.94676352596769</v>
      </c>
      <c r="Q209" s="200">
        <v>4.0225523148650115</v>
      </c>
      <c r="R209" s="201">
        <v>49.659632402995236</v>
      </c>
      <c r="S209" s="200">
        <v>21.919673247106875</v>
      </c>
      <c r="T209" s="200">
        <v>28.420694349897889</v>
      </c>
      <c r="U209" s="202">
        <v>85.824827132038195</v>
      </c>
      <c r="V209" s="200">
        <v>7.8531445505432993</v>
      </c>
      <c r="W209" s="200">
        <v>6.3220283174185061</v>
      </c>
      <c r="X209" s="201">
        <v>73.791348600508911</v>
      </c>
      <c r="Y209" s="200">
        <v>0</v>
      </c>
      <c r="Z209" s="203">
        <v>26.208651399491096</v>
      </c>
      <c r="AA209" s="200">
        <v>82.594936708860757</v>
      </c>
      <c r="AB209" s="204">
        <v>8.9059674502712483</v>
      </c>
      <c r="AC209" s="200">
        <v>8.4990958408679926</v>
      </c>
      <c r="AD209" s="201">
        <v>18.910741301059002</v>
      </c>
      <c r="AE209" s="200">
        <v>46.444780635400903</v>
      </c>
      <c r="AF209" s="205">
        <v>34.644478063540092</v>
      </c>
    </row>
    <row r="210" spans="1:32" x14ac:dyDescent="0.25">
      <c r="A210" s="199" t="s">
        <v>506</v>
      </c>
      <c r="B210" s="200">
        <v>81.880899369688606</v>
      </c>
      <c r="C210" s="200">
        <v>12.559189689234532</v>
      </c>
      <c r="D210" s="200">
        <v>5.5599109410768603</v>
      </c>
      <c r="E210" s="201">
        <v>53.832033042680131</v>
      </c>
      <c r="F210" s="200">
        <v>23.389934220590487</v>
      </c>
      <c r="G210" s="200">
        <v>22.778032736729386</v>
      </c>
      <c r="H210" s="202">
        <v>83.113663989322404</v>
      </c>
      <c r="I210" s="200">
        <v>11.330648044426436</v>
      </c>
      <c r="J210" s="200">
        <v>5.5556879662511616</v>
      </c>
      <c r="K210" s="201">
        <v>60.390807422883128</v>
      </c>
      <c r="L210" s="200">
        <v>17.844414403342757</v>
      </c>
      <c r="M210" s="203">
        <v>21.764778173774118</v>
      </c>
      <c r="N210" s="434"/>
      <c r="O210" s="202">
        <v>86.883287079864317</v>
      </c>
      <c r="P210" s="200">
        <v>9.5590502621029909</v>
      </c>
      <c r="Q210" s="200">
        <v>3.5576626580326858</v>
      </c>
      <c r="R210" s="201">
        <v>59.213004262067606</v>
      </c>
      <c r="S210" s="200">
        <v>16.959064327485379</v>
      </c>
      <c r="T210" s="200">
        <v>23.827931410447022</v>
      </c>
      <c r="U210" s="202">
        <v>74.870550161812304</v>
      </c>
      <c r="V210" s="200">
        <v>16.974110032362461</v>
      </c>
      <c r="W210" s="200">
        <v>8.1553398058252426</v>
      </c>
      <c r="X210" s="201">
        <v>65.331599479843945</v>
      </c>
      <c r="Y210" s="200">
        <v>22.574772431729521</v>
      </c>
      <c r="Z210" s="203">
        <v>12.093628088426527</v>
      </c>
      <c r="AA210" s="200">
        <v>84.204763208321936</v>
      </c>
      <c r="AB210" s="204">
        <v>4.817957842868875</v>
      </c>
      <c r="AC210" s="200">
        <v>10.977278948809198</v>
      </c>
      <c r="AD210" s="201">
        <v>57.368645877829984</v>
      </c>
      <c r="AE210" s="200">
        <v>13.882956001708671</v>
      </c>
      <c r="AF210" s="205">
        <v>28.748398120461342</v>
      </c>
    </row>
    <row r="211" spans="1:32" x14ac:dyDescent="0.25">
      <c r="A211" s="199" t="s">
        <v>507</v>
      </c>
      <c r="B211" s="200">
        <v>78.868691367647472</v>
      </c>
      <c r="C211" s="200">
        <v>13.086323525318042</v>
      </c>
      <c r="D211" s="200">
        <v>8.0449851070344902</v>
      </c>
      <c r="E211" s="201">
        <v>53.654416123295789</v>
      </c>
      <c r="F211" s="200">
        <v>22.522228808535864</v>
      </c>
      <c r="G211" s="200">
        <v>23.823355068168343</v>
      </c>
      <c r="H211" s="202">
        <v>82.178948144869807</v>
      </c>
      <c r="I211" s="200">
        <v>10.043704359371542</v>
      </c>
      <c r="J211" s="200">
        <v>7.777347495758649</v>
      </c>
      <c r="K211" s="201">
        <v>50.005082850462536</v>
      </c>
      <c r="L211" s="200">
        <v>23.750465927959066</v>
      </c>
      <c r="M211" s="203">
        <v>26.244451221578398</v>
      </c>
      <c r="N211" s="434"/>
      <c r="O211" s="202">
        <v>80.851233094669851</v>
      </c>
      <c r="P211" s="200">
        <v>11.26332537788385</v>
      </c>
      <c r="Q211" s="200">
        <v>7.8854415274463001</v>
      </c>
      <c r="R211" s="201">
        <v>51.390134529147979</v>
      </c>
      <c r="S211" s="200">
        <v>22.18609865470852</v>
      </c>
      <c r="T211" s="200">
        <v>26.423766816143495</v>
      </c>
      <c r="U211" s="202">
        <v>83.451448819797676</v>
      </c>
      <c r="V211" s="200">
        <v>8.4957421272218099</v>
      </c>
      <c r="W211" s="200">
        <v>8.0528090529805105</v>
      </c>
      <c r="X211" s="201">
        <v>52.780529220319792</v>
      </c>
      <c r="Y211" s="200">
        <v>20.390547615678507</v>
      </c>
      <c r="Z211" s="203">
        <v>26.828923164001701</v>
      </c>
      <c r="AA211" s="200">
        <v>85.854302139289416</v>
      </c>
      <c r="AB211" s="204">
        <v>7.9257374422768825</v>
      </c>
      <c r="AC211" s="200">
        <v>6.2199604184337005</v>
      </c>
      <c r="AD211" s="201">
        <v>40.395480225988699</v>
      </c>
      <c r="AE211" s="200">
        <v>34.963059539330729</v>
      </c>
      <c r="AF211" s="205">
        <v>24.641460234680572</v>
      </c>
    </row>
    <row r="212" spans="1:32" x14ac:dyDescent="0.25">
      <c r="A212" s="199" t="s">
        <v>508</v>
      </c>
      <c r="B212" s="200">
        <v>69.386433543791483</v>
      </c>
      <c r="C212" s="200">
        <v>21.79860773838433</v>
      </c>
      <c r="D212" s="200">
        <v>8.8149587178241866</v>
      </c>
      <c r="E212" s="201">
        <v>55.608274814955394</v>
      </c>
      <c r="F212" s="200">
        <v>20.981210855949893</v>
      </c>
      <c r="G212" s="200">
        <v>23.410514329094706</v>
      </c>
      <c r="H212" s="202">
        <v>77.448788446431806</v>
      </c>
      <c r="I212" s="200">
        <v>12.780228412592907</v>
      </c>
      <c r="J212" s="200">
        <v>9.7709831409752859</v>
      </c>
      <c r="K212" s="201">
        <v>62.5</v>
      </c>
      <c r="L212" s="200">
        <v>12.359550561797752</v>
      </c>
      <c r="M212" s="203">
        <v>25.140449438202246</v>
      </c>
      <c r="N212" s="434"/>
      <c r="O212" s="202">
        <v>77.285992217898837</v>
      </c>
      <c r="P212" s="200">
        <v>13.433852140077821</v>
      </c>
      <c r="Q212" s="200">
        <v>9.2801556420233471</v>
      </c>
      <c r="R212" s="201">
        <v>83.572110792741157</v>
      </c>
      <c r="S212" s="200">
        <v>14.613180515759314</v>
      </c>
      <c r="T212" s="200">
        <v>1.8147086914995225</v>
      </c>
      <c r="U212" s="202">
        <v>75.547229343324787</v>
      </c>
      <c r="V212" s="200">
        <v>12.837704594754488</v>
      </c>
      <c r="W212" s="200">
        <v>11.615066061920725</v>
      </c>
      <c r="X212" s="201">
        <v>35.236938031591734</v>
      </c>
      <c r="Y212" s="200">
        <v>11.057108140947753</v>
      </c>
      <c r="Z212" s="203">
        <v>53.705953827460505</v>
      </c>
      <c r="AA212" s="200">
        <v>86.822351959966639</v>
      </c>
      <c r="AB212" s="204">
        <v>6.9224353628023358</v>
      </c>
      <c r="AC212" s="200">
        <v>6.2552126772310253</v>
      </c>
      <c r="AD212" s="201">
        <v>64.15094339622641</v>
      </c>
      <c r="AE212" s="200">
        <v>7.1698113207547172</v>
      </c>
      <c r="AF212" s="205">
        <v>28.679245283018869</v>
      </c>
    </row>
    <row r="213" spans="1:32" x14ac:dyDescent="0.25">
      <c r="A213" s="199" t="s">
        <v>509</v>
      </c>
      <c r="B213" s="200">
        <v>81.408481294456209</v>
      </c>
      <c r="C213" s="200">
        <v>12.635065428680022</v>
      </c>
      <c r="D213" s="200">
        <v>5.9564532768637672</v>
      </c>
      <c r="E213" s="201">
        <v>62.045177045177049</v>
      </c>
      <c r="F213" s="200">
        <v>20.195360195360195</v>
      </c>
      <c r="G213" s="200">
        <v>17.75946275946276</v>
      </c>
      <c r="H213" s="202">
        <v>79.639544749700107</v>
      </c>
      <c r="I213" s="200">
        <v>10.705403902981363</v>
      </c>
      <c r="J213" s="200">
        <v>9.655051347318528</v>
      </c>
      <c r="K213" s="201">
        <v>60.062460961898815</v>
      </c>
      <c r="L213" s="200">
        <v>20.824484697064335</v>
      </c>
      <c r="M213" s="203">
        <v>19.113054341036854</v>
      </c>
      <c r="N213" s="434"/>
      <c r="O213" s="202">
        <v>81.134394755326625</v>
      </c>
      <c r="P213" s="200">
        <v>10.811285413252165</v>
      </c>
      <c r="Q213" s="200">
        <v>8.0543198314212123</v>
      </c>
      <c r="R213" s="201">
        <v>61.881285742457102</v>
      </c>
      <c r="S213" s="200">
        <v>21.534214158943008</v>
      </c>
      <c r="T213" s="200">
        <v>16.584500098599882</v>
      </c>
      <c r="U213" s="202">
        <v>79.266518643289189</v>
      </c>
      <c r="V213" s="200">
        <v>9.6853227164841886</v>
      </c>
      <c r="W213" s="200">
        <v>11.048158640226628</v>
      </c>
      <c r="X213" s="201">
        <v>68.871794871794862</v>
      </c>
      <c r="Y213" s="200">
        <v>20</v>
      </c>
      <c r="Z213" s="203">
        <v>11.128205128205128</v>
      </c>
      <c r="AA213" s="200">
        <v>74.5166088249876</v>
      </c>
      <c r="AB213" s="204">
        <v>13.559742191373328</v>
      </c>
      <c r="AC213" s="200">
        <v>11.923648983639069</v>
      </c>
      <c r="AD213" s="201">
        <v>33.299492385786799</v>
      </c>
      <c r="AE213" s="200">
        <v>18.781725888324875</v>
      </c>
      <c r="AF213" s="205">
        <v>47.918781725888323</v>
      </c>
    </row>
    <row r="214" spans="1:32" x14ac:dyDescent="0.25">
      <c r="A214" s="199" t="s">
        <v>510</v>
      </c>
      <c r="B214" s="200">
        <v>76.866411673041512</v>
      </c>
      <c r="C214" s="200">
        <v>14.052982008783113</v>
      </c>
      <c r="D214" s="200">
        <v>9.0806063181753789</v>
      </c>
      <c r="E214" s="201">
        <v>42.799263351749538</v>
      </c>
      <c r="F214" s="200">
        <v>28.606507059545734</v>
      </c>
      <c r="G214" s="200">
        <v>28.594229588704728</v>
      </c>
      <c r="H214" s="202">
        <v>68.352874916798939</v>
      </c>
      <c r="I214" s="200">
        <v>21.345553223081257</v>
      </c>
      <c r="J214" s="200">
        <v>10.301571860119809</v>
      </c>
      <c r="K214" s="201">
        <v>47.619893428063939</v>
      </c>
      <c r="L214" s="200">
        <v>26.927175843694496</v>
      </c>
      <c r="M214" s="203">
        <v>25.452930728241562</v>
      </c>
      <c r="N214" s="434"/>
      <c r="O214" s="202">
        <v>69.754290171606868</v>
      </c>
      <c r="P214" s="200">
        <v>20.778081123244931</v>
      </c>
      <c r="Q214" s="200">
        <v>9.467628705148206</v>
      </c>
      <c r="R214" s="201">
        <v>52.452830188679243</v>
      </c>
      <c r="S214" s="200">
        <v>23.628447024673441</v>
      </c>
      <c r="T214" s="200">
        <v>23.918722786647315</v>
      </c>
      <c r="U214" s="202">
        <v>65.698677400805067</v>
      </c>
      <c r="V214" s="200">
        <v>22.484186313973549</v>
      </c>
      <c r="W214" s="200">
        <v>11.817136285221391</v>
      </c>
      <c r="X214" s="201">
        <v>54.502369668246445</v>
      </c>
      <c r="Y214" s="200">
        <v>22.274881516587676</v>
      </c>
      <c r="Z214" s="203">
        <v>23.222748815165879</v>
      </c>
      <c r="AA214" s="200">
        <v>70.146678170836935</v>
      </c>
      <c r="AB214" s="204">
        <v>20.448662640207075</v>
      </c>
      <c r="AC214" s="200">
        <v>9.4046591889559963</v>
      </c>
      <c r="AD214" s="201">
        <v>20.043572984749456</v>
      </c>
      <c r="AE214" s="200">
        <v>45.751633986928105</v>
      </c>
      <c r="AF214" s="205">
        <v>34.204793028322442</v>
      </c>
    </row>
    <row r="215" spans="1:32" x14ac:dyDescent="0.25">
      <c r="A215" s="199" t="s">
        <v>511</v>
      </c>
      <c r="B215" s="200">
        <v>54.60632727944634</v>
      </c>
      <c r="C215" s="200">
        <v>27.267311905947111</v>
      </c>
      <c r="D215" s="200">
        <v>18.126360814606549</v>
      </c>
      <c r="E215" s="201">
        <v>42.752727153665937</v>
      </c>
      <c r="F215" s="200">
        <v>26.066426977626161</v>
      </c>
      <c r="G215" s="200">
        <v>31.180845868707902</v>
      </c>
      <c r="H215" s="202">
        <v>61.906488241167466</v>
      </c>
      <c r="I215" s="200">
        <v>19.25694812639631</v>
      </c>
      <c r="J215" s="200">
        <v>18.836563632436221</v>
      </c>
      <c r="K215" s="201">
        <v>39.56321077262551</v>
      </c>
      <c r="L215" s="200">
        <v>24.477655369743211</v>
      </c>
      <c r="M215" s="203">
        <v>35.959133857631279</v>
      </c>
      <c r="N215" s="434"/>
      <c r="O215" s="202">
        <v>59.648178308397263</v>
      </c>
      <c r="P215" s="200">
        <v>21.472324418003875</v>
      </c>
      <c r="Q215" s="200">
        <v>18.879497273598865</v>
      </c>
      <c r="R215" s="201">
        <v>42.285766255885768</v>
      </c>
      <c r="S215" s="200">
        <v>24.498650251966748</v>
      </c>
      <c r="T215" s="200">
        <v>33.215583492147481</v>
      </c>
      <c r="U215" s="202">
        <v>62.922378134793433</v>
      </c>
      <c r="V215" s="200">
        <v>17.400654466819582</v>
      </c>
      <c r="W215" s="200">
        <v>19.676967398386985</v>
      </c>
      <c r="X215" s="201">
        <v>34.700221642398226</v>
      </c>
      <c r="Y215" s="200">
        <v>24.931683640546531</v>
      </c>
      <c r="Z215" s="203">
        <v>40.368094717055243</v>
      </c>
      <c r="AA215" s="200">
        <v>69.301479360534472</v>
      </c>
      <c r="AB215" s="204">
        <v>14.151157241708423</v>
      </c>
      <c r="AC215" s="200">
        <v>16.547363397757099</v>
      </c>
      <c r="AD215" s="201">
        <v>33.954206456914477</v>
      </c>
      <c r="AE215" s="200">
        <v>23.343750389083258</v>
      </c>
      <c r="AF215" s="205">
        <v>42.702043154002268</v>
      </c>
    </row>
    <row r="216" spans="1:32" x14ac:dyDescent="0.25">
      <c r="A216" s="199" t="s">
        <v>512</v>
      </c>
      <c r="B216" s="200">
        <v>81.948540311129833</v>
      </c>
      <c r="C216" s="200">
        <v>11.361544102732138</v>
      </c>
      <c r="D216" s="200">
        <v>6.6899155861380271</v>
      </c>
      <c r="E216" s="201">
        <v>50.432447153173634</v>
      </c>
      <c r="F216" s="200">
        <v>19.572342163832204</v>
      </c>
      <c r="G216" s="200">
        <v>29.995210682994166</v>
      </c>
      <c r="H216" s="202">
        <v>76.397435452440334</v>
      </c>
      <c r="I216" s="200">
        <v>14.040054940423358</v>
      </c>
      <c r="J216" s="200">
        <v>9.5625096071363043</v>
      </c>
      <c r="K216" s="201">
        <v>52.006625735942812</v>
      </c>
      <c r="L216" s="200">
        <v>21.042113033614807</v>
      </c>
      <c r="M216" s="203">
        <v>26.951261230442373</v>
      </c>
      <c r="N216" s="434"/>
      <c r="O216" s="202">
        <v>76.244033045040609</v>
      </c>
      <c r="P216" s="200">
        <v>14.241426080217012</v>
      </c>
      <c r="Q216" s="200">
        <v>9.5145408747423854</v>
      </c>
      <c r="R216" s="201">
        <v>53.876875677526101</v>
      </c>
      <c r="S216" s="200">
        <v>19.367261938723111</v>
      </c>
      <c r="T216" s="200">
        <v>26.755862383750785</v>
      </c>
      <c r="U216" s="202">
        <v>77.78177619840163</v>
      </c>
      <c r="V216" s="200">
        <v>13.116818856551662</v>
      </c>
      <c r="W216" s="200">
        <v>9.1014049450467063</v>
      </c>
      <c r="X216" s="201">
        <v>51.740299124681229</v>
      </c>
      <c r="Y216" s="200">
        <v>21.814046453925151</v>
      </c>
      <c r="Z216" s="203">
        <v>26.445654421393616</v>
      </c>
      <c r="AA216" s="200">
        <v>72.903255900737008</v>
      </c>
      <c r="AB216" s="204">
        <v>15.845694561059801</v>
      </c>
      <c r="AC216" s="200">
        <v>11.251049538203191</v>
      </c>
      <c r="AD216" s="201">
        <v>41.686182669789233</v>
      </c>
      <c r="AE216" s="200">
        <v>28.98962863834058</v>
      </c>
      <c r="AF216" s="205">
        <v>29.324188691870191</v>
      </c>
    </row>
    <row r="217" spans="1:32" x14ac:dyDescent="0.25">
      <c r="A217" s="199" t="s">
        <v>513</v>
      </c>
      <c r="B217" s="200">
        <v>79.401005944215825</v>
      </c>
      <c r="C217" s="200">
        <v>11.236854138088706</v>
      </c>
      <c r="D217" s="200">
        <v>9.3621399176954743</v>
      </c>
      <c r="E217" s="201">
        <v>46.577127961010994</v>
      </c>
      <c r="F217" s="200">
        <v>21.735804148248896</v>
      </c>
      <c r="G217" s="200">
        <v>31.68706789074011</v>
      </c>
      <c r="H217" s="202">
        <v>81.158637088275825</v>
      </c>
      <c r="I217" s="200">
        <v>12.399686562727986</v>
      </c>
      <c r="J217" s="200">
        <v>6.4416763489961903</v>
      </c>
      <c r="K217" s="201">
        <v>49.170088980150581</v>
      </c>
      <c r="L217" s="200">
        <v>26.155030800821354</v>
      </c>
      <c r="M217" s="203">
        <v>24.674880219028065</v>
      </c>
      <c r="N217" s="434"/>
      <c r="O217" s="202">
        <v>83.239846265711023</v>
      </c>
      <c r="P217" s="200">
        <v>12.054637997299263</v>
      </c>
      <c r="Q217" s="200">
        <v>4.7055157369897165</v>
      </c>
      <c r="R217" s="201">
        <v>52.522294689205374</v>
      </c>
      <c r="S217" s="200">
        <v>26.474111539997335</v>
      </c>
      <c r="T217" s="200">
        <v>21.003593770797284</v>
      </c>
      <c r="U217" s="202">
        <v>80.551175189607278</v>
      </c>
      <c r="V217" s="200">
        <v>10.235037921453781</v>
      </c>
      <c r="W217" s="200">
        <v>9.2137868889389498</v>
      </c>
      <c r="X217" s="201">
        <v>46.565495207667738</v>
      </c>
      <c r="Y217" s="200">
        <v>31.190095846645367</v>
      </c>
      <c r="Z217" s="203">
        <v>22.244408945686899</v>
      </c>
      <c r="AA217" s="200">
        <v>73.95223073456512</v>
      </c>
      <c r="AB217" s="204">
        <v>20.392068499324019</v>
      </c>
      <c r="AC217" s="200">
        <v>5.6557007661108605</v>
      </c>
      <c r="AD217" s="201">
        <v>37.97846889952153</v>
      </c>
      <c r="AE217" s="200">
        <v>17.224880382775119</v>
      </c>
      <c r="AF217" s="205">
        <v>44.796650717703351</v>
      </c>
    </row>
    <row r="218" spans="1:32" x14ac:dyDescent="0.25">
      <c r="A218" s="199" t="s">
        <v>514</v>
      </c>
      <c r="B218" s="200">
        <v>82.196365334474848</v>
      </c>
      <c r="C218" s="200">
        <v>8.3317118729812822</v>
      </c>
      <c r="D218" s="200">
        <v>9.4719227925438769</v>
      </c>
      <c r="E218" s="201">
        <v>50.033698915507628</v>
      </c>
      <c r="F218" s="200">
        <v>19.539243918877521</v>
      </c>
      <c r="G218" s="200">
        <v>30.427057165614851</v>
      </c>
      <c r="H218" s="202">
        <v>74.255200753360157</v>
      </c>
      <c r="I218" s="200">
        <v>13.79590788459892</v>
      </c>
      <c r="J218" s="200">
        <v>11.948891362040921</v>
      </c>
      <c r="K218" s="201">
        <v>50.232646472319821</v>
      </c>
      <c r="L218" s="200">
        <v>17.624157250023739</v>
      </c>
      <c r="M218" s="203">
        <v>32.143196277656443</v>
      </c>
      <c r="N218" s="434"/>
      <c r="O218" s="202">
        <v>72.972858713114064</v>
      </c>
      <c r="P218" s="200">
        <v>15.244778895747018</v>
      </c>
      <c r="Q218" s="200">
        <v>11.782362391138919</v>
      </c>
      <c r="R218" s="201">
        <v>51.993067590987877</v>
      </c>
      <c r="S218" s="200">
        <v>10.849220103986134</v>
      </c>
      <c r="T218" s="200">
        <v>37.157712305025996</v>
      </c>
      <c r="U218" s="202">
        <v>75.934163701067618</v>
      </c>
      <c r="V218" s="200">
        <v>11.615880782918149</v>
      </c>
      <c r="W218" s="200">
        <v>12.449955516014235</v>
      </c>
      <c r="X218" s="201">
        <v>51.083676268861453</v>
      </c>
      <c r="Y218" s="200">
        <v>21.755829903978054</v>
      </c>
      <c r="Z218" s="203">
        <v>27.160493827160494</v>
      </c>
      <c r="AA218" s="200">
        <v>74.282343688556821</v>
      </c>
      <c r="AB218" s="204">
        <v>14.766024380652773</v>
      </c>
      <c r="AC218" s="200">
        <v>10.951631930790406</v>
      </c>
      <c r="AD218" s="201">
        <v>38.351254480286741</v>
      </c>
      <c r="AE218" s="200">
        <v>39.157706093189965</v>
      </c>
      <c r="AF218" s="205">
        <v>22.491039426523297</v>
      </c>
    </row>
    <row r="219" spans="1:32" x14ac:dyDescent="0.25">
      <c r="A219" s="199" t="s">
        <v>515</v>
      </c>
      <c r="B219" s="200">
        <v>84.241099312929421</v>
      </c>
      <c r="C219" s="200">
        <v>9.9812617114303563</v>
      </c>
      <c r="D219" s="200">
        <v>5.7776389756402251</v>
      </c>
      <c r="E219" s="201">
        <v>46.187446586269111</v>
      </c>
      <c r="F219" s="200">
        <v>15.706010825182792</v>
      </c>
      <c r="G219" s="200">
        <v>38.106542588548095</v>
      </c>
      <c r="H219" s="202">
        <v>75.251040901298055</v>
      </c>
      <c r="I219" s="200">
        <v>13.393950526573597</v>
      </c>
      <c r="J219" s="200">
        <v>11.355008572128337</v>
      </c>
      <c r="K219" s="201">
        <v>41.331432002401684</v>
      </c>
      <c r="L219" s="200">
        <v>22.838486940858601</v>
      </c>
      <c r="M219" s="203">
        <v>35.830081056739715</v>
      </c>
      <c r="N219" s="434"/>
      <c r="O219" s="202">
        <v>75.510754137243268</v>
      </c>
      <c r="P219" s="200">
        <v>12.462940003234326</v>
      </c>
      <c r="Q219" s="200">
        <v>12.026305859522397</v>
      </c>
      <c r="R219" s="201">
        <v>41.111621497473585</v>
      </c>
      <c r="S219" s="200">
        <v>23.15112540192926</v>
      </c>
      <c r="T219" s="200">
        <v>35.737253100597151</v>
      </c>
      <c r="U219" s="202">
        <v>72.638374632108622</v>
      </c>
      <c r="V219" s="200">
        <v>16.386594512484574</v>
      </c>
      <c r="W219" s="200">
        <v>10.975030855406818</v>
      </c>
      <c r="X219" s="201">
        <v>49.562478123906196</v>
      </c>
      <c r="Y219" s="200">
        <v>20.126006300315016</v>
      </c>
      <c r="Z219" s="203">
        <v>30.311515575778792</v>
      </c>
      <c r="AA219" s="200">
        <v>81.609837898267187</v>
      </c>
      <c r="AB219" s="204">
        <v>9.4186696478479597</v>
      </c>
      <c r="AC219" s="200">
        <v>8.9714924538848528</v>
      </c>
      <c r="AD219" s="201">
        <v>29.067121729237773</v>
      </c>
      <c r="AE219" s="200">
        <v>25.71103526734926</v>
      </c>
      <c r="AF219" s="205">
        <v>45.221843003412971</v>
      </c>
    </row>
    <row r="220" spans="1:32" x14ac:dyDescent="0.25">
      <c r="A220" s="199" t="s">
        <v>516</v>
      </c>
      <c r="B220" s="200">
        <v>49.129456354376408</v>
      </c>
      <c r="C220" s="200">
        <v>29.562951557503258</v>
      </c>
      <c r="D220" s="200">
        <v>21.307592088120337</v>
      </c>
      <c r="E220" s="201">
        <v>44.99079189686924</v>
      </c>
      <c r="F220" s="200">
        <v>17.541436464088399</v>
      </c>
      <c r="G220" s="200">
        <v>37.467771639042354</v>
      </c>
      <c r="H220" s="202">
        <v>60.930143784196467</v>
      </c>
      <c r="I220" s="200">
        <v>16.904186283242144</v>
      </c>
      <c r="J220" s="200">
        <v>22.165669932561393</v>
      </c>
      <c r="K220" s="201">
        <v>40.505487196541402</v>
      </c>
      <c r="L220" s="200">
        <v>17.14333222480878</v>
      </c>
      <c r="M220" s="203">
        <v>42.351180578649817</v>
      </c>
      <c r="N220" s="434"/>
      <c r="O220" s="202">
        <v>69.28398478035281</v>
      </c>
      <c r="P220" s="200">
        <v>11.506975671624582</v>
      </c>
      <c r="Q220" s="200">
        <v>19.209039548022599</v>
      </c>
      <c r="R220" s="201">
        <v>35.063045586808919</v>
      </c>
      <c r="S220" s="200">
        <v>22.259941804073716</v>
      </c>
      <c r="T220" s="200">
        <v>42.677012609117362</v>
      </c>
      <c r="U220" s="202">
        <v>52.807723250201121</v>
      </c>
      <c r="V220" s="200">
        <v>21.995172968624296</v>
      </c>
      <c r="W220" s="200">
        <v>25.197103781174579</v>
      </c>
      <c r="X220" s="201">
        <v>40.619765494137354</v>
      </c>
      <c r="Y220" s="200">
        <v>9.4639865996649917</v>
      </c>
      <c r="Z220" s="203">
        <v>49.916247906197654</v>
      </c>
      <c r="AA220" s="200">
        <v>34.4578313253012</v>
      </c>
      <c r="AB220" s="204">
        <v>35.180722891566262</v>
      </c>
      <c r="AC220" s="200">
        <v>30.361445783132528</v>
      </c>
      <c r="AD220" s="201">
        <v>72.557471264367805</v>
      </c>
      <c r="AE220" s="200">
        <v>0</v>
      </c>
      <c r="AF220" s="205">
        <v>27.442528735632184</v>
      </c>
    </row>
    <row r="221" spans="1:32" x14ac:dyDescent="0.25">
      <c r="A221" s="199" t="s">
        <v>517</v>
      </c>
      <c r="B221" s="200">
        <v>70.794322904414656</v>
      </c>
      <c r="C221" s="200">
        <v>19.548341566690191</v>
      </c>
      <c r="D221" s="200">
        <v>9.6573355288951621</v>
      </c>
      <c r="E221" s="201">
        <v>53.535493335916854</v>
      </c>
      <c r="F221" s="200">
        <v>20.42821751345965</v>
      </c>
      <c r="G221" s="200">
        <v>26.036289150623503</v>
      </c>
      <c r="H221" s="202">
        <v>77.863767120346921</v>
      </c>
      <c r="I221" s="200">
        <v>14.268386930574042</v>
      </c>
      <c r="J221" s="200">
        <v>7.8678459490790429</v>
      </c>
      <c r="K221" s="201">
        <v>53.525156982751767</v>
      </c>
      <c r="L221" s="200">
        <v>24.791352038788649</v>
      </c>
      <c r="M221" s="203">
        <v>21.683490978459581</v>
      </c>
      <c r="N221" s="434"/>
      <c r="O221" s="202">
        <v>79.014951315112711</v>
      </c>
      <c r="P221" s="200">
        <v>14.502598300906303</v>
      </c>
      <c r="Q221" s="200">
        <v>6.4824503839809866</v>
      </c>
      <c r="R221" s="201">
        <v>65.916309901947244</v>
      </c>
      <c r="S221" s="200">
        <v>19.859135478525065</v>
      </c>
      <c r="T221" s="200">
        <v>14.224554619527691</v>
      </c>
      <c r="U221" s="202">
        <v>76.039351430132996</v>
      </c>
      <c r="V221" s="200">
        <v>13.328475132082346</v>
      </c>
      <c r="W221" s="200">
        <v>10.63217343778466</v>
      </c>
      <c r="X221" s="201">
        <v>48.731617647058826</v>
      </c>
      <c r="Y221" s="200">
        <v>24.136029411764707</v>
      </c>
      <c r="Z221" s="203">
        <v>27.132352941176467</v>
      </c>
      <c r="AA221" s="200">
        <v>76.277176823390818</v>
      </c>
      <c r="AB221" s="204">
        <v>15.615293991646141</v>
      </c>
      <c r="AC221" s="200">
        <v>8.1075291849630506</v>
      </c>
      <c r="AD221" s="201">
        <v>24.255725190839694</v>
      </c>
      <c r="AE221" s="200">
        <v>39.103053435114504</v>
      </c>
      <c r="AF221" s="205">
        <v>36.641221374045799</v>
      </c>
    </row>
    <row r="222" spans="1:32" x14ac:dyDescent="0.25">
      <c r="A222" s="199" t="s">
        <v>518</v>
      </c>
      <c r="B222" s="200">
        <v>63.697792793794036</v>
      </c>
      <c r="C222" s="200">
        <v>27.926826557602968</v>
      </c>
      <c r="D222" s="200">
        <v>8.3753806486029916</v>
      </c>
      <c r="E222" s="201">
        <v>56.900514746349828</v>
      </c>
      <c r="F222" s="200">
        <v>20.350286509760757</v>
      </c>
      <c r="G222" s="200">
        <v>22.749198743889409</v>
      </c>
      <c r="H222" s="202">
        <v>70.495524711376305</v>
      </c>
      <c r="I222" s="200">
        <v>17.500648592554157</v>
      </c>
      <c r="J222" s="200">
        <v>12.003826696069529</v>
      </c>
      <c r="K222" s="201">
        <v>47.051058662020168</v>
      </c>
      <c r="L222" s="200">
        <v>26.917999894397802</v>
      </c>
      <c r="M222" s="203">
        <v>26.03094144358203</v>
      </c>
      <c r="N222" s="434"/>
      <c r="O222" s="202">
        <v>76.135666052793127</v>
      </c>
      <c r="P222" s="200">
        <v>15.045017393083693</v>
      </c>
      <c r="Q222" s="200">
        <v>8.8193165541231835</v>
      </c>
      <c r="R222" s="201">
        <v>53.927878230667069</v>
      </c>
      <c r="S222" s="200">
        <v>24.650117478802738</v>
      </c>
      <c r="T222" s="200">
        <v>21.422004290530186</v>
      </c>
      <c r="U222" s="202">
        <v>63.952183185542708</v>
      </c>
      <c r="V222" s="200">
        <v>19.536423841059602</v>
      </c>
      <c r="W222" s="200">
        <v>16.511392973397687</v>
      </c>
      <c r="X222" s="201">
        <v>44.620963564151268</v>
      </c>
      <c r="Y222" s="200">
        <v>25.505094111552406</v>
      </c>
      <c r="Z222" s="203">
        <v>29.873942324296323</v>
      </c>
      <c r="AA222" s="200">
        <v>48.644673250682921</v>
      </c>
      <c r="AB222" s="204">
        <v>30.069342298802269</v>
      </c>
      <c r="AC222" s="200">
        <v>21.285984450514814</v>
      </c>
      <c r="AD222" s="201">
        <v>31.19976183387913</v>
      </c>
      <c r="AE222" s="200">
        <v>35.963084251265258</v>
      </c>
      <c r="AF222" s="205">
        <v>32.837153914855612</v>
      </c>
    </row>
    <row r="223" spans="1:32" x14ac:dyDescent="0.25">
      <c r="A223" s="199" t="s">
        <v>519</v>
      </c>
      <c r="B223" s="200">
        <v>71.859994945665903</v>
      </c>
      <c r="C223" s="200">
        <v>21.026029820571139</v>
      </c>
      <c r="D223" s="200">
        <v>7.113975233762952</v>
      </c>
      <c r="E223" s="201">
        <v>60.121511550273731</v>
      </c>
      <c r="F223" s="200">
        <v>18.026438776872748</v>
      </c>
      <c r="G223" s="200">
        <v>21.852049672853518</v>
      </c>
      <c r="H223" s="202">
        <v>80.488794239935103</v>
      </c>
      <c r="I223" s="200">
        <v>13.335361525200284</v>
      </c>
      <c r="J223" s="200">
        <v>6.1758442348646181</v>
      </c>
      <c r="K223" s="201">
        <v>58.341463414634141</v>
      </c>
      <c r="L223" s="200">
        <v>24.829268292682926</v>
      </c>
      <c r="M223" s="203">
        <v>16.829268292682929</v>
      </c>
      <c r="N223" s="434"/>
      <c r="O223" s="202">
        <v>84.754960149228424</v>
      </c>
      <c r="P223" s="200">
        <v>10.429031711039512</v>
      </c>
      <c r="Q223" s="200">
        <v>4.8160081397320669</v>
      </c>
      <c r="R223" s="201">
        <v>60.982658959537574</v>
      </c>
      <c r="S223" s="200">
        <v>28.034682080924856</v>
      </c>
      <c r="T223" s="200">
        <v>10.982658959537572</v>
      </c>
      <c r="U223" s="202">
        <v>69.107629427792915</v>
      </c>
      <c r="V223" s="200">
        <v>20.946866485013622</v>
      </c>
      <c r="W223" s="200">
        <v>9.945504087193461</v>
      </c>
      <c r="X223" s="201">
        <v>64.091858037578291</v>
      </c>
      <c r="Y223" s="200">
        <v>3.5490605427974948</v>
      </c>
      <c r="Z223" s="203">
        <v>32.359081419624218</v>
      </c>
      <c r="AA223" s="200">
        <v>88.60759493670885</v>
      </c>
      <c r="AB223" s="204">
        <v>8.179162609542356</v>
      </c>
      <c r="AC223" s="200">
        <v>3.2132424537487831</v>
      </c>
      <c r="AD223" s="201">
        <v>48.037383177570092</v>
      </c>
      <c r="AE223" s="200">
        <v>37.570093457943926</v>
      </c>
      <c r="AF223" s="205">
        <v>14.392523364485982</v>
      </c>
    </row>
    <row r="224" spans="1:32" x14ac:dyDescent="0.25">
      <c r="A224" s="199" t="s">
        <v>520</v>
      </c>
      <c r="B224" s="200">
        <v>77.57450018860807</v>
      </c>
      <c r="C224" s="200">
        <v>17.729158807996985</v>
      </c>
      <c r="D224" s="200">
        <v>4.6963410033949451</v>
      </c>
      <c r="E224" s="201">
        <v>43.403730115194733</v>
      </c>
      <c r="F224" s="200">
        <v>32.213384530992869</v>
      </c>
      <c r="G224" s="200">
        <v>24.382885353812398</v>
      </c>
      <c r="H224" s="202">
        <v>83.609613208175233</v>
      </c>
      <c r="I224" s="200">
        <v>10.398775048265762</v>
      </c>
      <c r="J224" s="200">
        <v>5.9916117435590177</v>
      </c>
      <c r="K224" s="201">
        <v>54.572836801752466</v>
      </c>
      <c r="L224" s="200">
        <v>8.1051478641840085</v>
      </c>
      <c r="M224" s="203">
        <v>37.322015334063522</v>
      </c>
      <c r="N224" s="434"/>
      <c r="O224" s="202">
        <v>84.18458781362007</v>
      </c>
      <c r="P224" s="200">
        <v>10.047043010752688</v>
      </c>
      <c r="Q224" s="200">
        <v>5.7683691756272397</v>
      </c>
      <c r="R224" s="201">
        <v>71.567505720823803</v>
      </c>
      <c r="S224" s="200">
        <v>0</v>
      </c>
      <c r="T224" s="200">
        <v>28.432494279176201</v>
      </c>
      <c r="U224" s="202">
        <v>92.27518196759803</v>
      </c>
      <c r="V224" s="200">
        <v>2.4888471472176565</v>
      </c>
      <c r="W224" s="200">
        <v>5.2359708851843152</v>
      </c>
      <c r="X224" s="201">
        <v>31.224764468371468</v>
      </c>
      <c r="Y224" s="200">
        <v>19.111709286675641</v>
      </c>
      <c r="Z224" s="203">
        <v>49.663526244952891</v>
      </c>
      <c r="AA224" s="200">
        <v>60.708446866485012</v>
      </c>
      <c r="AB224" s="204">
        <v>30.463215258855588</v>
      </c>
      <c r="AC224" s="200">
        <v>8.8283378746594003</v>
      </c>
      <c r="AD224" s="201">
        <v>43.927648578811365</v>
      </c>
      <c r="AE224" s="200">
        <v>13.264427217915589</v>
      </c>
      <c r="AF224" s="205">
        <v>42.807924203273039</v>
      </c>
    </row>
    <row r="225" spans="1:32" x14ac:dyDescent="0.25">
      <c r="A225" s="199" t="s">
        <v>521</v>
      </c>
      <c r="B225" s="200">
        <v>75.783319630949123</v>
      </c>
      <c r="C225" s="200">
        <v>17.064035808897415</v>
      </c>
      <c r="D225" s="200">
        <v>7.1526445601534663</v>
      </c>
      <c r="E225" s="201">
        <v>58.682570384698039</v>
      </c>
      <c r="F225" s="200">
        <v>15.678057167418869</v>
      </c>
      <c r="G225" s="200">
        <v>25.639372447883087</v>
      </c>
      <c r="H225" s="202">
        <v>81.485496249403809</v>
      </c>
      <c r="I225" s="200">
        <v>11.958548324155574</v>
      </c>
      <c r="J225" s="200">
        <v>6.5559554264406197</v>
      </c>
      <c r="K225" s="201">
        <v>51.074031453778289</v>
      </c>
      <c r="L225" s="200">
        <v>17.472190257000385</v>
      </c>
      <c r="M225" s="203">
        <v>31.453778289221329</v>
      </c>
      <c r="N225" s="434"/>
      <c r="O225" s="202">
        <v>83.712490041603971</v>
      </c>
      <c r="P225" s="200">
        <v>7.7100115074798623</v>
      </c>
      <c r="Q225" s="200">
        <v>8.5774984509161722</v>
      </c>
      <c r="R225" s="201">
        <v>54.638822321122902</v>
      </c>
      <c r="S225" s="200">
        <v>18.384115029099625</v>
      </c>
      <c r="T225" s="200">
        <v>26.977062649777473</v>
      </c>
      <c r="U225" s="202">
        <v>77.346426124685991</v>
      </c>
      <c r="V225" s="200">
        <v>16.453528202786025</v>
      </c>
      <c r="W225" s="200">
        <v>6.200045672527974</v>
      </c>
      <c r="X225" s="201">
        <v>44.748520710059168</v>
      </c>
      <c r="Y225" s="200">
        <v>3.6242603550295858</v>
      </c>
      <c r="Z225" s="203">
        <v>51.627218934911248</v>
      </c>
      <c r="AA225" s="200">
        <v>85.172872340425528</v>
      </c>
      <c r="AB225" s="204">
        <v>14.827127659574469</v>
      </c>
      <c r="AC225" s="200">
        <v>0</v>
      </c>
      <c r="AD225" s="201">
        <v>49.096705632306062</v>
      </c>
      <c r="AE225" s="200">
        <v>34.537725823591927</v>
      </c>
      <c r="AF225" s="205">
        <v>16.365568544102018</v>
      </c>
    </row>
    <row r="226" spans="1:32" x14ac:dyDescent="0.25">
      <c r="A226" s="199" t="s">
        <v>522</v>
      </c>
      <c r="B226" s="200">
        <v>73.334955130284357</v>
      </c>
      <c r="C226" s="200">
        <v>14.065034057735973</v>
      </c>
      <c r="D226" s="200">
        <v>12.600010811979672</v>
      </c>
      <c r="E226" s="201">
        <v>47.580342875180023</v>
      </c>
      <c r="F226" s="200">
        <v>21.935725699855986</v>
      </c>
      <c r="G226" s="200">
        <v>30.483931424963995</v>
      </c>
      <c r="H226" s="202">
        <v>73.363719234275294</v>
      </c>
      <c r="I226" s="200">
        <v>15.343143638494597</v>
      </c>
      <c r="J226" s="200">
        <v>11.293137127230109</v>
      </c>
      <c r="K226" s="201">
        <v>44.677268475210482</v>
      </c>
      <c r="L226" s="200">
        <v>26.192703461178674</v>
      </c>
      <c r="M226" s="203">
        <v>29.130028063610851</v>
      </c>
      <c r="N226" s="434"/>
      <c r="O226" s="202">
        <v>75.112929546153296</v>
      </c>
      <c r="P226" s="200">
        <v>13.795142255752904</v>
      </c>
      <c r="Q226" s="200">
        <v>11.091928198093797</v>
      </c>
      <c r="R226" s="201">
        <v>39.022662889518415</v>
      </c>
      <c r="S226" s="200">
        <v>26.329870947434685</v>
      </c>
      <c r="T226" s="200">
        <v>34.6474661630469</v>
      </c>
      <c r="U226" s="202">
        <v>72.00669286742675</v>
      </c>
      <c r="V226" s="200">
        <v>15.393595081520681</v>
      </c>
      <c r="W226" s="200">
        <v>12.59971205105257</v>
      </c>
      <c r="X226" s="201">
        <v>57.279693486590034</v>
      </c>
      <c r="Y226" s="200">
        <v>25.079821200510853</v>
      </c>
      <c r="Z226" s="203">
        <v>17.640485312899106</v>
      </c>
      <c r="AA226" s="200">
        <v>68.925976385104448</v>
      </c>
      <c r="AB226" s="204">
        <v>22.627157129881926</v>
      </c>
      <c r="AC226" s="200">
        <v>8.4468664850136239</v>
      </c>
      <c r="AD226" s="201">
        <v>41.7358803986711</v>
      </c>
      <c r="AE226" s="200">
        <v>28.363787375415285</v>
      </c>
      <c r="AF226" s="205">
        <v>29.900332225913623</v>
      </c>
    </row>
    <row r="227" spans="1:32" x14ac:dyDescent="0.25">
      <c r="A227" s="199" t="s">
        <v>523</v>
      </c>
      <c r="B227" s="200">
        <v>67.819997226459577</v>
      </c>
      <c r="C227" s="200">
        <v>18.506448481486618</v>
      </c>
      <c r="D227" s="200">
        <v>13.673554292053808</v>
      </c>
      <c r="E227" s="201">
        <v>52.752482227836204</v>
      </c>
      <c r="F227" s="200">
        <v>14.317607661124493</v>
      </c>
      <c r="G227" s="200">
        <v>32.929910111039305</v>
      </c>
      <c r="H227" s="202">
        <v>68.983326342281885</v>
      </c>
      <c r="I227" s="200">
        <v>18.823406040268456</v>
      </c>
      <c r="J227" s="200">
        <v>12.193267617449663</v>
      </c>
      <c r="K227" s="201">
        <v>42.365875109938436</v>
      </c>
      <c r="L227" s="200">
        <v>17.854001759014952</v>
      </c>
      <c r="M227" s="203">
        <v>39.780123131046615</v>
      </c>
      <c r="N227" s="434"/>
      <c r="O227" s="202">
        <v>68.291508373909778</v>
      </c>
      <c r="P227" s="200">
        <v>19.963614960672054</v>
      </c>
      <c r="Q227" s="200">
        <v>11.744876665418161</v>
      </c>
      <c r="R227" s="201">
        <v>44.370469004290577</v>
      </c>
      <c r="S227" s="200">
        <v>18.050007397544015</v>
      </c>
      <c r="T227" s="200">
        <v>37.579523598165409</v>
      </c>
      <c r="U227" s="202">
        <v>68.513158780372891</v>
      </c>
      <c r="V227" s="200">
        <v>17.688631621457898</v>
      </c>
      <c r="W227" s="200">
        <v>13.798209598169214</v>
      </c>
      <c r="X227" s="201">
        <v>29.879518072289159</v>
      </c>
      <c r="Y227" s="200">
        <v>22.570281124497992</v>
      </c>
      <c r="Z227" s="203">
        <v>47.550200803212853</v>
      </c>
      <c r="AA227" s="200">
        <v>73.314484558503707</v>
      </c>
      <c r="AB227" s="204">
        <v>17.855589386689864</v>
      </c>
      <c r="AC227" s="200">
        <v>8.8299260548064371</v>
      </c>
      <c r="AD227" s="201">
        <v>50.636492220650645</v>
      </c>
      <c r="AE227" s="200">
        <v>11.692597831211692</v>
      </c>
      <c r="AF227" s="205">
        <v>37.67090994813767</v>
      </c>
    </row>
    <row r="228" spans="1:32" x14ac:dyDescent="0.25">
      <c r="A228" s="199" t="s">
        <v>524</v>
      </c>
      <c r="B228" s="200">
        <v>72.040641344422525</v>
      </c>
      <c r="C228" s="200">
        <v>16.429735059590158</v>
      </c>
      <c r="D228" s="200">
        <v>11.52962359598731</v>
      </c>
      <c r="E228" s="201">
        <v>43.972177503215917</v>
      </c>
      <c r="F228" s="200">
        <v>24.721351378415228</v>
      </c>
      <c r="G228" s="200">
        <v>31.306471118368854</v>
      </c>
      <c r="H228" s="202">
        <v>71.799234368353893</v>
      </c>
      <c r="I228" s="200">
        <v>14.625610432404201</v>
      </c>
      <c r="J228" s="200">
        <v>13.575155199241905</v>
      </c>
      <c r="K228" s="201">
        <v>49.607748530173879</v>
      </c>
      <c r="L228" s="200">
        <v>20.509658857377723</v>
      </c>
      <c r="M228" s="203">
        <v>29.882592612448398</v>
      </c>
      <c r="N228" s="434"/>
      <c r="O228" s="202">
        <v>72.83888359128585</v>
      </c>
      <c r="P228" s="200">
        <v>14.600601481698819</v>
      </c>
      <c r="Q228" s="200">
        <v>12.560514927015332</v>
      </c>
      <c r="R228" s="201">
        <v>49.324648977630666</v>
      </c>
      <c r="S228" s="200">
        <v>21.408360471944903</v>
      </c>
      <c r="T228" s="200">
        <v>29.266990550424431</v>
      </c>
      <c r="U228" s="202">
        <v>70.596096360119574</v>
      </c>
      <c r="V228" s="200">
        <v>14.854932301740812</v>
      </c>
      <c r="W228" s="200">
        <v>14.548971338139616</v>
      </c>
      <c r="X228" s="201">
        <v>55.090206185567013</v>
      </c>
      <c r="Y228" s="200">
        <v>16.573596792668958</v>
      </c>
      <c r="Z228" s="203">
        <v>28.336197021764033</v>
      </c>
      <c r="AA228" s="200">
        <v>69.526119025967475</v>
      </c>
      <c r="AB228" s="204">
        <v>14.10528442962514</v>
      </c>
      <c r="AC228" s="200">
        <v>16.368596544407396</v>
      </c>
      <c r="AD228" s="201">
        <v>35.056328694499669</v>
      </c>
      <c r="AE228" s="200">
        <v>25.20432957808703</v>
      </c>
      <c r="AF228" s="205">
        <v>39.739341727413297</v>
      </c>
    </row>
    <row r="229" spans="1:32" x14ac:dyDescent="0.25">
      <c r="A229" s="199" t="s">
        <v>525</v>
      </c>
      <c r="B229" s="200">
        <v>66.297773774289027</v>
      </c>
      <c r="C229" s="200">
        <v>23.182344614592719</v>
      </c>
      <c r="D229" s="200">
        <v>10.51988161111826</v>
      </c>
      <c r="E229" s="201">
        <v>47.156949234100573</v>
      </c>
      <c r="F229" s="200">
        <v>22.864704467078354</v>
      </c>
      <c r="G229" s="200">
        <v>29.978346298821073</v>
      </c>
      <c r="H229" s="202">
        <v>68.696850393700799</v>
      </c>
      <c r="I229" s="200">
        <v>17.814960629921259</v>
      </c>
      <c r="J229" s="200">
        <v>13.488188976377952</v>
      </c>
      <c r="K229" s="201">
        <v>43.373380001891974</v>
      </c>
      <c r="L229" s="200">
        <v>23.999621606281334</v>
      </c>
      <c r="M229" s="203">
        <v>32.626998391826696</v>
      </c>
      <c r="N229" s="434"/>
      <c r="O229" s="202">
        <v>68.803239770981705</v>
      </c>
      <c r="P229" s="200">
        <v>17.665130568356375</v>
      </c>
      <c r="Q229" s="200">
        <v>13.531629660661917</v>
      </c>
      <c r="R229" s="201">
        <v>49.782671689365401</v>
      </c>
      <c r="S229" s="200">
        <v>23.732251521298174</v>
      </c>
      <c r="T229" s="200">
        <v>26.485076789336425</v>
      </c>
      <c r="U229" s="202">
        <v>65.142721781357338</v>
      </c>
      <c r="V229" s="200">
        <v>20.265308539618619</v>
      </c>
      <c r="W229" s="200">
        <v>14.591969679024045</v>
      </c>
      <c r="X229" s="201">
        <v>32.308657465495614</v>
      </c>
      <c r="Y229" s="200">
        <v>23.494353826850688</v>
      </c>
      <c r="Z229" s="203">
        <v>44.196988707653702</v>
      </c>
      <c r="AA229" s="200">
        <v>79.506641366223903</v>
      </c>
      <c r="AB229" s="204">
        <v>10.777988614800758</v>
      </c>
      <c r="AC229" s="200">
        <v>9.7153700189753316</v>
      </c>
      <c r="AD229" s="201">
        <v>24.740124740124742</v>
      </c>
      <c r="AE229" s="200">
        <v>31.185031185031185</v>
      </c>
      <c r="AF229" s="205">
        <v>44.07484407484408</v>
      </c>
    </row>
    <row r="230" spans="1:32" x14ac:dyDescent="0.25">
      <c r="A230" s="199" t="s">
        <v>526</v>
      </c>
      <c r="B230" s="200">
        <v>56.694921341857629</v>
      </c>
      <c r="C230" s="200">
        <v>23.564159662859467</v>
      </c>
      <c r="D230" s="200">
        <v>19.740918995282904</v>
      </c>
      <c r="E230" s="201">
        <v>39.673825486721277</v>
      </c>
      <c r="F230" s="200">
        <v>26.933149922132859</v>
      </c>
      <c r="G230" s="200">
        <v>33.393024591145867</v>
      </c>
      <c r="H230" s="202">
        <v>59.740063742255032</v>
      </c>
      <c r="I230" s="200">
        <v>18.672297787083757</v>
      </c>
      <c r="J230" s="200">
        <v>21.587638470661215</v>
      </c>
      <c r="K230" s="201">
        <v>39.162355433918954</v>
      </c>
      <c r="L230" s="200">
        <v>22.958594508696038</v>
      </c>
      <c r="M230" s="203">
        <v>37.879050057385008</v>
      </c>
      <c r="N230" s="434"/>
      <c r="O230" s="202">
        <v>58.738848532727026</v>
      </c>
      <c r="P230" s="200">
        <v>19.452205244802403</v>
      </c>
      <c r="Q230" s="200">
        <v>21.808946222470567</v>
      </c>
      <c r="R230" s="201">
        <v>40.851237672186613</v>
      </c>
      <c r="S230" s="200">
        <v>23.833388954739519</v>
      </c>
      <c r="T230" s="200">
        <v>35.315373373073875</v>
      </c>
      <c r="U230" s="202">
        <v>61.36585062498704</v>
      </c>
      <c r="V230" s="200">
        <v>17.392881573765052</v>
      </c>
      <c r="W230" s="200">
        <v>21.241267801247901</v>
      </c>
      <c r="X230" s="201">
        <v>37.0907522475772</v>
      </c>
      <c r="Y230" s="200">
        <v>22.761520939197478</v>
      </c>
      <c r="Z230" s="203">
        <v>40.147726813225326</v>
      </c>
      <c r="AA230" s="200">
        <v>59.340273972602745</v>
      </c>
      <c r="AB230" s="204">
        <v>19.011506849315069</v>
      </c>
      <c r="AC230" s="200">
        <v>21.648219178082194</v>
      </c>
      <c r="AD230" s="201">
        <v>35.187974197948343</v>
      </c>
      <c r="AE230" s="200">
        <v>19.056008638572361</v>
      </c>
      <c r="AF230" s="205">
        <v>45.756017163479299</v>
      </c>
    </row>
    <row r="231" spans="1:32" x14ac:dyDescent="0.25">
      <c r="A231" s="199" t="s">
        <v>527</v>
      </c>
      <c r="B231" s="200">
        <v>85.610145795885757</v>
      </c>
      <c r="C231" s="200">
        <v>8.5480327541441987</v>
      </c>
      <c r="D231" s="200">
        <v>5.8418214499700412</v>
      </c>
      <c r="E231" s="201">
        <v>56.77771709448389</v>
      </c>
      <c r="F231" s="200">
        <v>19.541234298197708</v>
      </c>
      <c r="G231" s="200">
        <v>23.681048607318406</v>
      </c>
      <c r="H231" s="202">
        <v>81.984373434839227</v>
      </c>
      <c r="I231" s="200">
        <v>9.7816287689071419</v>
      </c>
      <c r="J231" s="200">
        <v>8.2339977962536306</v>
      </c>
      <c r="K231" s="201">
        <v>49.526886683591052</v>
      </c>
      <c r="L231" s="200">
        <v>21.417032079390722</v>
      </c>
      <c r="M231" s="203">
        <v>29.056081237018233</v>
      </c>
      <c r="N231" s="434"/>
      <c r="O231" s="202">
        <v>84.699503767689762</v>
      </c>
      <c r="P231" s="200">
        <v>8.6197390185627629</v>
      </c>
      <c r="Q231" s="200">
        <v>6.6807572137474738</v>
      </c>
      <c r="R231" s="201">
        <v>51.177336276674026</v>
      </c>
      <c r="S231" s="200">
        <v>22.442972774098603</v>
      </c>
      <c r="T231" s="200">
        <v>26.379690949227374</v>
      </c>
      <c r="U231" s="202">
        <v>79.845956354300384</v>
      </c>
      <c r="V231" s="200">
        <v>9.6116816431322203</v>
      </c>
      <c r="W231" s="200">
        <v>10.542362002567394</v>
      </c>
      <c r="X231" s="201">
        <v>48.454404945904173</v>
      </c>
      <c r="Y231" s="200">
        <v>24.574961360123648</v>
      </c>
      <c r="Z231" s="203">
        <v>26.970633693972179</v>
      </c>
      <c r="AA231" s="200">
        <v>76.29733520336606</v>
      </c>
      <c r="AB231" s="204">
        <v>14.586255259467041</v>
      </c>
      <c r="AC231" s="200">
        <v>9.1164095371669003</v>
      </c>
      <c r="AD231" s="201">
        <v>39.875389408099686</v>
      </c>
      <c r="AE231" s="200">
        <v>0</v>
      </c>
      <c r="AF231" s="205">
        <v>60.124610591900307</v>
      </c>
    </row>
    <row r="232" spans="1:32" x14ac:dyDescent="0.25">
      <c r="A232" s="199" t="s">
        <v>528</v>
      </c>
      <c r="B232" s="200">
        <v>80.211081794195252</v>
      </c>
      <c r="C232" s="200">
        <v>13.578242338136798</v>
      </c>
      <c r="D232" s="200">
        <v>6.2106758676679519</v>
      </c>
      <c r="E232" s="201">
        <v>51.932029795158286</v>
      </c>
      <c r="F232" s="200">
        <v>23.324022346368714</v>
      </c>
      <c r="G232" s="200">
        <v>24.743947858472996</v>
      </c>
      <c r="H232" s="202">
        <v>77.978997673394957</v>
      </c>
      <c r="I232" s="200">
        <v>12.387599823932591</v>
      </c>
      <c r="J232" s="200">
        <v>9.6334025026724515</v>
      </c>
      <c r="K232" s="201">
        <v>42.512208355941397</v>
      </c>
      <c r="L232" s="200">
        <v>21.975040694519805</v>
      </c>
      <c r="M232" s="203">
        <v>35.512750949538798</v>
      </c>
      <c r="N232" s="434"/>
      <c r="O232" s="202">
        <v>76.558150792690299</v>
      </c>
      <c r="P232" s="200">
        <v>13.49388841825003</v>
      </c>
      <c r="Q232" s="200">
        <v>9.947960789059664</v>
      </c>
      <c r="R232" s="201">
        <v>39.540026536930561</v>
      </c>
      <c r="S232" s="200">
        <v>13.843432109685979</v>
      </c>
      <c r="T232" s="200">
        <v>46.616541353383454</v>
      </c>
      <c r="U232" s="202">
        <v>77.887405687753926</v>
      </c>
      <c r="V232" s="200">
        <v>12.555620042561424</v>
      </c>
      <c r="W232" s="200">
        <v>9.5569742696846571</v>
      </c>
      <c r="X232" s="201">
        <v>60.477178423236509</v>
      </c>
      <c r="Y232" s="200">
        <v>21.887966804979254</v>
      </c>
      <c r="Z232" s="203">
        <v>17.634854771784234</v>
      </c>
      <c r="AA232" s="200">
        <v>82.921893970052608</v>
      </c>
      <c r="AB232" s="204">
        <v>8.3367057871307164</v>
      </c>
      <c r="AC232" s="200">
        <v>8.7414002428166722</v>
      </c>
      <c r="AD232" s="201">
        <v>19.522776572668114</v>
      </c>
      <c r="AE232" s="200">
        <v>62.039045553145336</v>
      </c>
      <c r="AF232" s="205">
        <v>18.43817787418655</v>
      </c>
    </row>
    <row r="233" spans="1:32" x14ac:dyDescent="0.25">
      <c r="A233" s="199" t="s">
        <v>529</v>
      </c>
      <c r="B233" s="200">
        <v>82.943756956721018</v>
      </c>
      <c r="C233" s="200">
        <v>9.1795979833693444</v>
      </c>
      <c r="D233" s="200">
        <v>7.8766450599096443</v>
      </c>
      <c r="E233" s="201">
        <v>68.302286839315457</v>
      </c>
      <c r="F233" s="200">
        <v>20.324095108284112</v>
      </c>
      <c r="G233" s="200">
        <v>11.373618052400424</v>
      </c>
      <c r="H233" s="202">
        <v>86.86263653294408</v>
      </c>
      <c r="I233" s="200">
        <v>7.1223637187295523</v>
      </c>
      <c r="J233" s="200">
        <v>6.0149997483263702</v>
      </c>
      <c r="K233" s="201">
        <v>41.837409120951754</v>
      </c>
      <c r="L233" s="200">
        <v>27.825512227362854</v>
      </c>
      <c r="M233" s="203">
        <v>30.337078651685395</v>
      </c>
      <c r="N233" s="434"/>
      <c r="O233" s="202">
        <v>92.655565293602109</v>
      </c>
      <c r="P233" s="200">
        <v>4.2506573181419807</v>
      </c>
      <c r="Q233" s="200">
        <v>3.0937773882559161</v>
      </c>
      <c r="R233" s="201">
        <v>51.624815361890697</v>
      </c>
      <c r="S233" s="200">
        <v>25.184638109305762</v>
      </c>
      <c r="T233" s="200">
        <v>23.190546528803544</v>
      </c>
      <c r="U233" s="202">
        <v>79.278575890068709</v>
      </c>
      <c r="V233" s="200">
        <v>8.6508432229856336</v>
      </c>
      <c r="W233" s="200">
        <v>12.07058088694566</v>
      </c>
      <c r="X233" s="201">
        <v>35.877106045589692</v>
      </c>
      <c r="Y233" s="200">
        <v>42.319127849355795</v>
      </c>
      <c r="Z233" s="203">
        <v>21.80376610505451</v>
      </c>
      <c r="AA233" s="200">
        <v>78.286270691333982</v>
      </c>
      <c r="AB233" s="204">
        <v>18.354430379746837</v>
      </c>
      <c r="AC233" s="200">
        <v>3.3592989289191819</v>
      </c>
      <c r="AD233" s="201">
        <v>16.909975669099754</v>
      </c>
      <c r="AE233" s="200">
        <v>18.734793187347933</v>
      </c>
      <c r="AF233" s="205">
        <v>64.355231143552317</v>
      </c>
    </row>
    <row r="234" spans="1:32" x14ac:dyDescent="0.25">
      <c r="A234" s="199" t="s">
        <v>530</v>
      </c>
      <c r="B234" s="200">
        <v>77.032266004799894</v>
      </c>
      <c r="C234" s="200">
        <v>15.778137884351089</v>
      </c>
      <c r="D234" s="200">
        <v>7.189596110849009</v>
      </c>
      <c r="E234" s="201">
        <v>49.371207230471271</v>
      </c>
      <c r="F234" s="200">
        <v>22.1078114912847</v>
      </c>
      <c r="G234" s="200">
        <v>28.52098127824403</v>
      </c>
      <c r="H234" s="202">
        <v>71.572795598436286</v>
      </c>
      <c r="I234" s="200">
        <v>16.537454095533942</v>
      </c>
      <c r="J234" s="200">
        <v>11.889750306029773</v>
      </c>
      <c r="K234" s="201">
        <v>44.412147092709844</v>
      </c>
      <c r="L234" s="200">
        <v>27.509592313465177</v>
      </c>
      <c r="M234" s="203">
        <v>28.078260593824982</v>
      </c>
      <c r="N234" s="434"/>
      <c r="O234" s="202">
        <v>72.205779680053425</v>
      </c>
      <c r="P234" s="200">
        <v>15.711228485565979</v>
      </c>
      <c r="Q234" s="200">
        <v>12.082991834380596</v>
      </c>
      <c r="R234" s="201">
        <v>49.108255991134506</v>
      </c>
      <c r="S234" s="200">
        <v>27.481299348940297</v>
      </c>
      <c r="T234" s="200">
        <v>23.410444659925197</v>
      </c>
      <c r="U234" s="202">
        <v>73.870795669160799</v>
      </c>
      <c r="V234" s="200">
        <v>15.192537808341623</v>
      </c>
      <c r="W234" s="200">
        <v>10.936666522497585</v>
      </c>
      <c r="X234" s="201">
        <v>40.976245654692931</v>
      </c>
      <c r="Y234" s="200">
        <v>33.666473541908069</v>
      </c>
      <c r="Z234" s="203">
        <v>25.357280803398996</v>
      </c>
      <c r="AA234" s="200">
        <v>62.507467144563918</v>
      </c>
      <c r="AB234" s="204">
        <v>24.085274790919954</v>
      </c>
      <c r="AC234" s="200">
        <v>13.407258064516128</v>
      </c>
      <c r="AD234" s="201">
        <v>32.02007061884408</v>
      </c>
      <c r="AE234" s="200">
        <v>19.71132998823019</v>
      </c>
      <c r="AF234" s="205">
        <v>48.268599392925729</v>
      </c>
    </row>
    <row r="235" spans="1:32" x14ac:dyDescent="0.25">
      <c r="A235" s="199" t="s">
        <v>531</v>
      </c>
      <c r="B235" s="200">
        <v>78.189881022117973</v>
      </c>
      <c r="C235" s="200">
        <v>15.469118845767474</v>
      </c>
      <c r="D235" s="200">
        <v>6.3410001321145559</v>
      </c>
      <c r="E235" s="201">
        <v>57.733913000343698</v>
      </c>
      <c r="F235" s="200">
        <v>20.56329744074889</v>
      </c>
      <c r="G235" s="200">
        <v>21.702789558907419</v>
      </c>
      <c r="H235" s="202">
        <v>77.122768121025828</v>
      </c>
      <c r="I235" s="200">
        <v>13.571025738920792</v>
      </c>
      <c r="J235" s="200">
        <v>9.3062061400533729</v>
      </c>
      <c r="K235" s="201">
        <v>45.424115035555729</v>
      </c>
      <c r="L235" s="200">
        <v>29.477861155855891</v>
      </c>
      <c r="M235" s="203">
        <v>25.098023808588376</v>
      </c>
      <c r="N235" s="434"/>
      <c r="O235" s="202">
        <v>80.060006076564719</v>
      </c>
      <c r="P235" s="200">
        <v>12.40758557828641</v>
      </c>
      <c r="Q235" s="200">
        <v>7.5324083451488759</v>
      </c>
      <c r="R235" s="201">
        <v>51.633899751913994</v>
      </c>
      <c r="S235" s="200">
        <v>24.472483794382054</v>
      </c>
      <c r="T235" s="200">
        <v>23.893616453703949</v>
      </c>
      <c r="U235" s="202">
        <v>73.837062779376851</v>
      </c>
      <c r="V235" s="200">
        <v>14.392964677481396</v>
      </c>
      <c r="W235" s="200">
        <v>11.769972543141755</v>
      </c>
      <c r="X235" s="201">
        <v>41.949839583261465</v>
      </c>
      <c r="Y235" s="200">
        <v>39.534963949356609</v>
      </c>
      <c r="Z235" s="203">
        <v>18.51519646738193</v>
      </c>
      <c r="AA235" s="200">
        <v>68.33607506245049</v>
      </c>
      <c r="AB235" s="204">
        <v>18.51987245882329</v>
      </c>
      <c r="AC235" s="200">
        <v>13.144052478726213</v>
      </c>
      <c r="AD235" s="201">
        <v>29.767421901819429</v>
      </c>
      <c r="AE235" s="200">
        <v>33.067284586337109</v>
      </c>
      <c r="AF235" s="205">
        <v>37.165293511843458</v>
      </c>
    </row>
    <row r="236" spans="1:32" x14ac:dyDescent="0.25">
      <c r="A236" s="199" t="s">
        <v>532</v>
      </c>
      <c r="B236" s="200">
        <v>72.776788519953911</v>
      </c>
      <c r="C236" s="200">
        <v>16.130721692678328</v>
      </c>
      <c r="D236" s="200">
        <v>11.092489787367759</v>
      </c>
      <c r="E236" s="201">
        <v>47.391979537772905</v>
      </c>
      <c r="F236" s="200">
        <v>28.144697177308853</v>
      </c>
      <c r="G236" s="200">
        <v>24.463323284918243</v>
      </c>
      <c r="H236" s="202">
        <v>67.838916210448176</v>
      </c>
      <c r="I236" s="200">
        <v>17.29145402245523</v>
      </c>
      <c r="J236" s="200">
        <v>14.869629767096596</v>
      </c>
      <c r="K236" s="201">
        <v>44.497243869986697</v>
      </c>
      <c r="L236" s="200">
        <v>33.35867705759361</v>
      </c>
      <c r="M236" s="203">
        <v>22.144079072419693</v>
      </c>
      <c r="N236" s="434"/>
      <c r="O236" s="202">
        <v>64.320482113883941</v>
      </c>
      <c r="P236" s="200">
        <v>17.747044734605577</v>
      </c>
      <c r="Q236" s="200">
        <v>17.932473151510468</v>
      </c>
      <c r="R236" s="201">
        <v>37.182741116751266</v>
      </c>
      <c r="S236" s="200">
        <v>32.392131979695435</v>
      </c>
      <c r="T236" s="200">
        <v>30.425126903553302</v>
      </c>
      <c r="U236" s="202">
        <v>72.559366754617415</v>
      </c>
      <c r="V236" s="200">
        <v>16.959835825271181</v>
      </c>
      <c r="W236" s="200">
        <v>10.480797420111404</v>
      </c>
      <c r="X236" s="201">
        <v>47.674418604651166</v>
      </c>
      <c r="Y236" s="200">
        <v>42.544459644322849</v>
      </c>
      <c r="Z236" s="203">
        <v>9.7811217510259922</v>
      </c>
      <c r="AA236" s="200">
        <v>75.293460033538281</v>
      </c>
      <c r="AB236" s="204">
        <v>15.259921743991056</v>
      </c>
      <c r="AC236" s="200">
        <v>9.4466182224706543</v>
      </c>
      <c r="AD236" s="201">
        <v>72.839506172839506</v>
      </c>
      <c r="AE236" s="200">
        <v>17.438271604938272</v>
      </c>
      <c r="AF236" s="205">
        <v>9.7222222222222232</v>
      </c>
    </row>
    <row r="237" spans="1:32" x14ac:dyDescent="0.25">
      <c r="A237" s="199" t="s">
        <v>533</v>
      </c>
      <c r="B237" s="200">
        <v>75.08172697553826</v>
      </c>
      <c r="C237" s="200">
        <v>11.362867771389922</v>
      </c>
      <c r="D237" s="200">
        <v>13.555405253071806</v>
      </c>
      <c r="E237" s="201">
        <v>51.865837405597517</v>
      </c>
      <c r="F237" s="200">
        <v>19.333074189249221</v>
      </c>
      <c r="G237" s="200">
        <v>28.801088405153262</v>
      </c>
      <c r="H237" s="202">
        <v>75.367144029918819</v>
      </c>
      <c r="I237" s="200">
        <v>14.343701541548844</v>
      </c>
      <c r="J237" s="200">
        <v>10.289154428532337</v>
      </c>
      <c r="K237" s="201">
        <v>49.953794024027111</v>
      </c>
      <c r="L237" s="200">
        <v>18.610740322415033</v>
      </c>
      <c r="M237" s="203">
        <v>31.435465653557859</v>
      </c>
      <c r="N237" s="434"/>
      <c r="O237" s="202">
        <v>74.864947225531211</v>
      </c>
      <c r="P237" s="200">
        <v>13.386153974014462</v>
      </c>
      <c r="Q237" s="200">
        <v>11.748898800454331</v>
      </c>
      <c r="R237" s="201">
        <v>52.3845763571791</v>
      </c>
      <c r="S237" s="200">
        <v>16.311516996448503</v>
      </c>
      <c r="T237" s="200">
        <v>31.303906646372397</v>
      </c>
      <c r="U237" s="202">
        <v>77.051644853201267</v>
      </c>
      <c r="V237" s="200">
        <v>14.533958259639194</v>
      </c>
      <c r="W237" s="200">
        <v>8.4143968871595334</v>
      </c>
      <c r="X237" s="201">
        <v>42.738323736404347</v>
      </c>
      <c r="Y237" s="200">
        <v>20.025591810620604</v>
      </c>
      <c r="Z237" s="203">
        <v>37.236084452975049</v>
      </c>
      <c r="AA237" s="200">
        <v>72.540693559801838</v>
      </c>
      <c r="AB237" s="204">
        <v>18.627034677990093</v>
      </c>
      <c r="AC237" s="200">
        <v>8.8322717622080678</v>
      </c>
      <c r="AD237" s="201">
        <v>61.642857142857146</v>
      </c>
      <c r="AE237" s="200">
        <v>31.714285714285712</v>
      </c>
      <c r="AF237" s="205">
        <v>6.6428571428571432</v>
      </c>
    </row>
    <row r="238" spans="1:32" x14ac:dyDescent="0.25">
      <c r="A238" s="199" t="s">
        <v>534</v>
      </c>
      <c r="B238" s="200">
        <v>60.118682788209732</v>
      </c>
      <c r="C238" s="200">
        <v>24.800802362511838</v>
      </c>
      <c r="D238" s="200">
        <v>15.080514849278432</v>
      </c>
      <c r="E238" s="201">
        <v>46.404607802387034</v>
      </c>
      <c r="F238" s="200">
        <v>20.950854066464778</v>
      </c>
      <c r="G238" s="200">
        <v>32.644538131148188</v>
      </c>
      <c r="H238" s="202">
        <v>65.333023737653377</v>
      </c>
      <c r="I238" s="200">
        <v>19.322342686695126</v>
      </c>
      <c r="J238" s="200">
        <v>15.344633575651489</v>
      </c>
      <c r="K238" s="201">
        <v>43.583612306711302</v>
      </c>
      <c r="L238" s="200">
        <v>25.067750677506773</v>
      </c>
      <c r="M238" s="203">
        <v>31.348637015781922</v>
      </c>
      <c r="N238" s="434"/>
      <c r="O238" s="202">
        <v>64.59702417854929</v>
      </c>
      <c r="P238" s="200">
        <v>21.624302541847491</v>
      </c>
      <c r="Q238" s="200">
        <v>13.778673279603224</v>
      </c>
      <c r="R238" s="201">
        <v>47.358647627585327</v>
      </c>
      <c r="S238" s="200">
        <v>23.263110712684895</v>
      </c>
      <c r="T238" s="200">
        <v>29.378241659729781</v>
      </c>
      <c r="U238" s="202">
        <v>67.841461967485458</v>
      </c>
      <c r="V238" s="200">
        <v>16.690399905067046</v>
      </c>
      <c r="W238" s="200">
        <v>15.468138127447489</v>
      </c>
      <c r="X238" s="201">
        <v>43.78050584233101</v>
      </c>
      <c r="Y238" s="200">
        <v>27.703002514420945</v>
      </c>
      <c r="Z238" s="203">
        <v>28.516491643248038</v>
      </c>
      <c r="AA238" s="200">
        <v>62.636403317328678</v>
      </c>
      <c r="AB238" s="204">
        <v>14.971628109995635</v>
      </c>
      <c r="AC238" s="200">
        <v>22.391968572675687</v>
      </c>
      <c r="AD238" s="201">
        <v>21.370670596904937</v>
      </c>
      <c r="AE238" s="200">
        <v>28.887251289609434</v>
      </c>
      <c r="AF238" s="205">
        <v>49.742078113485633</v>
      </c>
    </row>
    <row r="239" spans="1:32" x14ac:dyDescent="0.25">
      <c r="A239" s="199" t="s">
        <v>535</v>
      </c>
      <c r="B239" s="200">
        <v>80.677178656905539</v>
      </c>
      <c r="C239" s="200">
        <v>10.094326340982683</v>
      </c>
      <c r="D239" s="200">
        <v>9.2284950021117833</v>
      </c>
      <c r="E239" s="201">
        <v>54.785553047404065</v>
      </c>
      <c r="F239" s="200">
        <v>20.970654627539503</v>
      </c>
      <c r="G239" s="200">
        <v>24.243792325056436</v>
      </c>
      <c r="H239" s="202">
        <v>80.891963159704972</v>
      </c>
      <c r="I239" s="200">
        <v>11.778193908357855</v>
      </c>
      <c r="J239" s="200">
        <v>7.3298429319371721</v>
      </c>
      <c r="K239" s="201">
        <v>52.190121155638394</v>
      </c>
      <c r="L239" s="200">
        <v>18.184995340167752</v>
      </c>
      <c r="M239" s="203">
        <v>29.62488350419385</v>
      </c>
      <c r="N239" s="434"/>
      <c r="O239" s="202">
        <v>81.373172282263198</v>
      </c>
      <c r="P239" s="200">
        <v>9.1191636646182097</v>
      </c>
      <c r="Q239" s="200">
        <v>9.5076640531185994</v>
      </c>
      <c r="R239" s="201">
        <v>58.626396359122879</v>
      </c>
      <c r="S239" s="200">
        <v>16.259826230864707</v>
      </c>
      <c r="T239" s="200">
        <v>25.11377741001241</v>
      </c>
      <c r="U239" s="202">
        <v>80.20373514431239</v>
      </c>
      <c r="V239" s="200">
        <v>15.053763440860216</v>
      </c>
      <c r="W239" s="200">
        <v>4.742501414827391</v>
      </c>
      <c r="X239" s="201">
        <v>40.258511979823453</v>
      </c>
      <c r="Y239" s="200">
        <v>22.194199243379572</v>
      </c>
      <c r="Z239" s="203">
        <v>37.547288776796975</v>
      </c>
      <c r="AA239" s="200">
        <v>80.686830497794588</v>
      </c>
      <c r="AB239" s="204">
        <v>14.524259609325771</v>
      </c>
      <c r="AC239" s="200">
        <v>4.788909892879647</v>
      </c>
      <c r="AD239" s="201">
        <v>63.951473136915084</v>
      </c>
      <c r="AE239" s="200">
        <v>12.305025996533796</v>
      </c>
      <c r="AF239" s="205">
        <v>23.743500866551127</v>
      </c>
    </row>
    <row r="240" spans="1:32" x14ac:dyDescent="0.25">
      <c r="A240" s="199" t="s">
        <v>536</v>
      </c>
      <c r="B240" s="200">
        <v>75.732641306411793</v>
      </c>
      <c r="C240" s="200">
        <v>11.918475852902082</v>
      </c>
      <c r="D240" s="200">
        <v>12.34888284068612</v>
      </c>
      <c r="E240" s="201">
        <v>49.973958333333336</v>
      </c>
      <c r="F240" s="200">
        <v>24.4921875</v>
      </c>
      <c r="G240" s="200">
        <v>25.533854166666664</v>
      </c>
      <c r="H240" s="202">
        <v>74.310954063604242</v>
      </c>
      <c r="I240" s="200">
        <v>14.681978798586574</v>
      </c>
      <c r="J240" s="200">
        <v>11.007067137809187</v>
      </c>
      <c r="K240" s="201">
        <v>59.559979046621272</v>
      </c>
      <c r="L240" s="200">
        <v>25.423432861882311</v>
      </c>
      <c r="M240" s="203">
        <v>15.016588091496422</v>
      </c>
      <c r="N240" s="434"/>
      <c r="O240" s="202">
        <v>77.369690224448149</v>
      </c>
      <c r="P240" s="200">
        <v>10.678290978791813</v>
      </c>
      <c r="Q240" s="200">
        <v>11.952018796760031</v>
      </c>
      <c r="R240" s="201">
        <v>67.168083714846304</v>
      </c>
      <c r="S240" s="200">
        <v>20.372792674950947</v>
      </c>
      <c r="T240" s="200">
        <v>12.459123610202747</v>
      </c>
      <c r="U240" s="202">
        <v>68.32511258846236</v>
      </c>
      <c r="V240" s="200">
        <v>21.220244477803991</v>
      </c>
      <c r="W240" s="200">
        <v>10.454642933733647</v>
      </c>
      <c r="X240" s="201">
        <v>52.426602756141406</v>
      </c>
      <c r="Y240" s="200">
        <v>27.441581785500301</v>
      </c>
      <c r="Z240" s="203">
        <v>20.1318154583583</v>
      </c>
      <c r="AA240" s="200">
        <v>76.579792931096037</v>
      </c>
      <c r="AB240" s="204">
        <v>16.029989289539451</v>
      </c>
      <c r="AC240" s="200">
        <v>7.3902177793645123</v>
      </c>
      <c r="AD240" s="201">
        <v>48.199999999999996</v>
      </c>
      <c r="AE240" s="200">
        <v>37.5</v>
      </c>
      <c r="AF240" s="205">
        <v>14.299999999999999</v>
      </c>
    </row>
    <row r="241" spans="1:32" x14ac:dyDescent="0.25">
      <c r="A241" s="199" t="s">
        <v>537</v>
      </c>
      <c r="B241" s="200">
        <v>77.578028138644811</v>
      </c>
      <c r="C241" s="200">
        <v>13.435933372863998</v>
      </c>
      <c r="D241" s="200">
        <v>8.9860384884911859</v>
      </c>
      <c r="E241" s="201">
        <v>51.594329972234398</v>
      </c>
      <c r="F241" s="200">
        <v>16.276486920941107</v>
      </c>
      <c r="G241" s="200">
        <v>32.129183106824492</v>
      </c>
      <c r="H241" s="202">
        <v>78.247744561936145</v>
      </c>
      <c r="I241" s="200">
        <v>11.959427989856998</v>
      </c>
      <c r="J241" s="200">
        <v>9.7928274482068609</v>
      </c>
      <c r="K241" s="201">
        <v>49.373121196568661</v>
      </c>
      <c r="L241" s="200">
        <v>24.481266955055357</v>
      </c>
      <c r="M241" s="203">
        <v>26.145611848375982</v>
      </c>
      <c r="N241" s="434"/>
      <c r="O241" s="202">
        <v>78.475677388686421</v>
      </c>
      <c r="P241" s="200">
        <v>13.221359530977658</v>
      </c>
      <c r="Q241" s="200">
        <v>8.3029630803359211</v>
      </c>
      <c r="R241" s="201">
        <v>55.826859045504996</v>
      </c>
      <c r="S241" s="200">
        <v>20.488346281908989</v>
      </c>
      <c r="T241" s="200">
        <v>23.684794672586015</v>
      </c>
      <c r="U241" s="202">
        <v>77.802324464508686</v>
      </c>
      <c r="V241" s="200">
        <v>10.114302180386129</v>
      </c>
      <c r="W241" s="200">
        <v>12.083373355105177</v>
      </c>
      <c r="X241" s="201">
        <v>35.754017305315209</v>
      </c>
      <c r="Y241" s="200">
        <v>40.760197775030903</v>
      </c>
      <c r="Z241" s="203">
        <v>23.485784919653891</v>
      </c>
      <c r="AA241" s="200">
        <v>78.619949946371122</v>
      </c>
      <c r="AB241" s="204">
        <v>11.708973900607795</v>
      </c>
      <c r="AC241" s="200">
        <v>9.6710761530210938</v>
      </c>
      <c r="AD241" s="201">
        <v>39.267767408470924</v>
      </c>
      <c r="AE241" s="200">
        <v>12.49102656137832</v>
      </c>
      <c r="AF241" s="205">
        <v>48.241206030150749</v>
      </c>
    </row>
    <row r="242" spans="1:32" x14ac:dyDescent="0.25">
      <c r="A242" s="199" t="s">
        <v>538</v>
      </c>
      <c r="B242" s="200">
        <v>86.566604127579737</v>
      </c>
      <c r="C242" s="200">
        <v>10.196998123827392</v>
      </c>
      <c r="D242" s="200">
        <v>3.2363977485928701</v>
      </c>
      <c r="E242" s="201">
        <v>48.855580311930325</v>
      </c>
      <c r="F242" s="200">
        <v>13.982850584025385</v>
      </c>
      <c r="G242" s="200">
        <v>37.16156910404429</v>
      </c>
      <c r="H242" s="202">
        <v>87.787045060658571</v>
      </c>
      <c r="I242" s="200">
        <v>9.2233535528596189</v>
      </c>
      <c r="J242" s="200">
        <v>2.9896013864818025</v>
      </c>
      <c r="K242" s="201">
        <v>52.541382667964939</v>
      </c>
      <c r="L242" s="200">
        <v>10.847127555988315</v>
      </c>
      <c r="M242" s="203">
        <v>36.611489776046739</v>
      </c>
      <c r="N242" s="434"/>
      <c r="O242" s="202">
        <v>86.401112545942183</v>
      </c>
      <c r="P242" s="200">
        <v>10.211582397933844</v>
      </c>
      <c r="Q242" s="200">
        <v>3.3873050561239695</v>
      </c>
      <c r="R242" s="201">
        <v>55.430228810828233</v>
      </c>
      <c r="S242" s="200">
        <v>7.5733161456654843</v>
      </c>
      <c r="T242" s="200">
        <v>36.99645504350628</v>
      </c>
      <c r="U242" s="202">
        <v>89.916242404335691</v>
      </c>
      <c r="V242" s="200">
        <v>9.180489407127606</v>
      </c>
      <c r="W242" s="200">
        <v>0.90326818853670543</v>
      </c>
      <c r="X242" s="201">
        <v>35.303265940902023</v>
      </c>
      <c r="Y242" s="200">
        <v>20.917573872472783</v>
      </c>
      <c r="Z242" s="203">
        <v>43.779160186625191</v>
      </c>
      <c r="AA242" s="200">
        <v>88.214904679376076</v>
      </c>
      <c r="AB242" s="204">
        <v>5.0259965337954942</v>
      </c>
      <c r="AC242" s="200">
        <v>6.7590987868284227</v>
      </c>
      <c r="AD242" s="201">
        <v>70.241286863270773</v>
      </c>
      <c r="AE242" s="200">
        <v>7.104557640750671</v>
      </c>
      <c r="AF242" s="205">
        <v>22.654155495978554</v>
      </c>
    </row>
    <row r="243" spans="1:32" x14ac:dyDescent="0.25">
      <c r="A243" s="199" t="s">
        <v>539</v>
      </c>
      <c r="B243" s="200">
        <v>78.952159401233942</v>
      </c>
      <c r="C243" s="200">
        <v>12.116921209669263</v>
      </c>
      <c r="D243" s="200">
        <v>8.9309193890967933</v>
      </c>
      <c r="E243" s="201">
        <v>61.403953370501775</v>
      </c>
      <c r="F243" s="200">
        <v>17.891535732387229</v>
      </c>
      <c r="G243" s="200">
        <v>20.704510897110996</v>
      </c>
      <c r="H243" s="202">
        <v>77.402794518101871</v>
      </c>
      <c r="I243" s="200">
        <v>12.852104816749252</v>
      </c>
      <c r="J243" s="200">
        <v>9.7451006651488772</v>
      </c>
      <c r="K243" s="201">
        <v>54.858521605615266</v>
      </c>
      <c r="L243" s="200">
        <v>24.808071945602105</v>
      </c>
      <c r="M243" s="203">
        <v>20.333406448782629</v>
      </c>
      <c r="N243" s="434"/>
      <c r="O243" s="202">
        <v>75.672746974896157</v>
      </c>
      <c r="P243" s="200">
        <v>12.958280657395701</v>
      </c>
      <c r="Q243" s="200">
        <v>11.368972367708146</v>
      </c>
      <c r="R243" s="201">
        <v>53.271028037383175</v>
      </c>
      <c r="S243" s="200">
        <v>25.534045393858477</v>
      </c>
      <c r="T243" s="200">
        <v>21.194926568758344</v>
      </c>
      <c r="U243" s="202">
        <v>83.695652173913047</v>
      </c>
      <c r="V243" s="200">
        <v>11.29956999522217</v>
      </c>
      <c r="W243" s="200">
        <v>5.0047778308647874</v>
      </c>
      <c r="X243" s="201">
        <v>45.64198687910028</v>
      </c>
      <c r="Y243" s="200">
        <v>34.301780693533267</v>
      </c>
      <c r="Z243" s="203">
        <v>20.056232427366446</v>
      </c>
      <c r="AA243" s="200">
        <v>66.057529610829107</v>
      </c>
      <c r="AB243" s="204">
        <v>16.852791878172589</v>
      </c>
      <c r="AC243" s="200">
        <v>17.089678510998308</v>
      </c>
      <c r="AD243" s="201">
        <v>84.242424242424235</v>
      </c>
      <c r="AE243" s="200">
        <v>0</v>
      </c>
      <c r="AF243" s="205">
        <v>15.757575757575756</v>
      </c>
    </row>
    <row r="244" spans="1:32" x14ac:dyDescent="0.25">
      <c r="A244" s="199" t="s">
        <v>540</v>
      </c>
      <c r="B244" s="200">
        <v>62.601932003512736</v>
      </c>
      <c r="C244" s="200">
        <v>19.520762765023207</v>
      </c>
      <c r="D244" s="200">
        <v>17.877305231464057</v>
      </c>
      <c r="E244" s="201">
        <v>50.885303954357667</v>
      </c>
      <c r="F244" s="200">
        <v>24.572103088727129</v>
      </c>
      <c r="G244" s="200">
        <v>24.542592956915207</v>
      </c>
      <c r="H244" s="202">
        <v>72.384039060526987</v>
      </c>
      <c r="I244" s="200">
        <v>15.506355753851334</v>
      </c>
      <c r="J244" s="200">
        <v>12.109605185621685</v>
      </c>
      <c r="K244" s="201">
        <v>54.00703312974273</v>
      </c>
      <c r="L244" s="200">
        <v>16.82398667406996</v>
      </c>
      <c r="M244" s="203">
        <v>29.168980196187306</v>
      </c>
      <c r="N244" s="434"/>
      <c r="O244" s="202">
        <v>73.743016759776538</v>
      </c>
      <c r="P244" s="200">
        <v>13.97469602366086</v>
      </c>
      <c r="Q244" s="200">
        <v>12.282287216562603</v>
      </c>
      <c r="R244" s="201">
        <v>60.908529048207662</v>
      </c>
      <c r="S244" s="200">
        <v>17.243510506798518</v>
      </c>
      <c r="T244" s="200">
        <v>21.84796044499382</v>
      </c>
      <c r="U244" s="202">
        <v>72.08324347638559</v>
      </c>
      <c r="V244" s="200">
        <v>18.061246495579038</v>
      </c>
      <c r="W244" s="200">
        <v>9.8555100280353685</v>
      </c>
      <c r="X244" s="201">
        <v>51.537744641192916</v>
      </c>
      <c r="Y244" s="200">
        <v>19.664492078285182</v>
      </c>
      <c r="Z244" s="203">
        <v>28.797763280521899</v>
      </c>
      <c r="AA244" s="200">
        <v>66.464733881436615</v>
      </c>
      <c r="AB244" s="204">
        <v>13.284292514063175</v>
      </c>
      <c r="AC244" s="200">
        <v>20.250973604500217</v>
      </c>
      <c r="AD244" s="201">
        <v>36.014625228519201</v>
      </c>
      <c r="AE244" s="200">
        <v>12.797074954296161</v>
      </c>
      <c r="AF244" s="205">
        <v>51.188299817184642</v>
      </c>
    </row>
    <row r="245" spans="1:32" x14ac:dyDescent="0.25">
      <c r="A245" s="199" t="s">
        <v>541</v>
      </c>
      <c r="B245" s="200">
        <v>85.401224621334194</v>
      </c>
      <c r="C245" s="200">
        <v>10.054785691266515</v>
      </c>
      <c r="D245" s="200">
        <v>4.5439896873992911</v>
      </c>
      <c r="E245" s="201">
        <v>36.335687577897794</v>
      </c>
      <c r="F245" s="200">
        <v>23.631076028250934</v>
      </c>
      <c r="G245" s="200">
        <v>40.033236393851269</v>
      </c>
      <c r="H245" s="202">
        <v>79.641532110571148</v>
      </c>
      <c r="I245" s="200">
        <v>16.000418038355019</v>
      </c>
      <c r="J245" s="200">
        <v>4.3580498510738366</v>
      </c>
      <c r="K245" s="201">
        <v>51.838476690741956</v>
      </c>
      <c r="L245" s="200">
        <v>10.620485883125411</v>
      </c>
      <c r="M245" s="203">
        <v>37.541037426132633</v>
      </c>
      <c r="N245" s="434"/>
      <c r="O245" s="202">
        <v>82.902977694758818</v>
      </c>
      <c r="P245" s="200">
        <v>10.680145039006703</v>
      </c>
      <c r="Q245" s="200">
        <v>6.4168772662344802</v>
      </c>
      <c r="R245" s="201">
        <v>42.740046838407494</v>
      </c>
      <c r="S245" s="200">
        <v>11.147540983606557</v>
      </c>
      <c r="T245" s="200">
        <v>46.112412177985952</v>
      </c>
      <c r="U245" s="202">
        <v>76.923076923076934</v>
      </c>
      <c r="V245" s="200">
        <v>20.062901323548683</v>
      </c>
      <c r="W245" s="200">
        <v>3.014021753374394</v>
      </c>
      <c r="X245" s="201">
        <v>70.296236989591677</v>
      </c>
      <c r="Y245" s="200">
        <v>13.690952762209768</v>
      </c>
      <c r="Z245" s="203">
        <v>16.012810248198559</v>
      </c>
      <c r="AA245" s="200">
        <v>75.925155925155934</v>
      </c>
      <c r="AB245" s="204">
        <v>23.243243243243246</v>
      </c>
      <c r="AC245" s="200">
        <v>0.83160083160083165</v>
      </c>
      <c r="AD245" s="201">
        <v>79.406631762652708</v>
      </c>
      <c r="AE245" s="200">
        <v>0</v>
      </c>
      <c r="AF245" s="205">
        <v>20.593368237347295</v>
      </c>
    </row>
    <row r="246" spans="1:32" x14ac:dyDescent="0.25">
      <c r="A246" s="199" t="s">
        <v>542</v>
      </c>
      <c r="B246" s="200">
        <v>74.863420784054753</v>
      </c>
      <c r="C246" s="200">
        <v>17.518160533109203</v>
      </c>
      <c r="D246" s="200">
        <v>7.6184186828360447</v>
      </c>
      <c r="E246" s="201">
        <v>40.869483744026986</v>
      </c>
      <c r="F246" s="200">
        <v>25.644148786657922</v>
      </c>
      <c r="G246" s="200">
        <v>33.486367469315091</v>
      </c>
      <c r="H246" s="202">
        <v>73.774429163650723</v>
      </c>
      <c r="I246" s="200">
        <v>14.216621701651642</v>
      </c>
      <c r="J246" s="200">
        <v>12.008949134697637</v>
      </c>
      <c r="K246" s="201">
        <v>34.94132985658409</v>
      </c>
      <c r="L246" s="200">
        <v>29.432855280312907</v>
      </c>
      <c r="M246" s="203">
        <v>35.625814863103002</v>
      </c>
      <c r="N246" s="434"/>
      <c r="O246" s="202">
        <v>73.659268146370721</v>
      </c>
      <c r="P246" s="200">
        <v>15.758848230353928</v>
      </c>
      <c r="Q246" s="200">
        <v>10.581883623275345</v>
      </c>
      <c r="R246" s="201">
        <v>26.952380952380949</v>
      </c>
      <c r="S246" s="200">
        <v>32.19047619047619</v>
      </c>
      <c r="T246" s="200">
        <v>40.857142857142861</v>
      </c>
      <c r="U246" s="202">
        <v>78.034486644877717</v>
      </c>
      <c r="V246" s="200">
        <v>11.40538712949397</v>
      </c>
      <c r="W246" s="200">
        <v>10.560126225628311</v>
      </c>
      <c r="X246" s="201">
        <v>66.193181818181827</v>
      </c>
      <c r="Y246" s="200">
        <v>20.549242424242426</v>
      </c>
      <c r="Z246" s="203">
        <v>13.257575757575758</v>
      </c>
      <c r="AA246" s="200">
        <v>66.378066378066379</v>
      </c>
      <c r="AB246" s="204">
        <v>14.058956916099774</v>
      </c>
      <c r="AC246" s="200">
        <v>19.562976705833847</v>
      </c>
      <c r="AD246" s="201">
        <v>35.568181818181813</v>
      </c>
      <c r="AE246" s="200">
        <v>26.931818181818183</v>
      </c>
      <c r="AF246" s="205">
        <v>37.5</v>
      </c>
    </row>
    <row r="247" spans="1:32" x14ac:dyDescent="0.25">
      <c r="A247" s="199" t="s">
        <v>543</v>
      </c>
      <c r="B247" s="200">
        <v>74.193143287705638</v>
      </c>
      <c r="C247" s="200">
        <v>13.839005399974885</v>
      </c>
      <c r="D247" s="200">
        <v>11.967851312319478</v>
      </c>
      <c r="E247" s="201">
        <v>44.69771169085567</v>
      </c>
      <c r="F247" s="200">
        <v>28.014721158697654</v>
      </c>
      <c r="G247" s="200">
        <v>27.28756715044668</v>
      </c>
      <c r="H247" s="202">
        <v>72.717648217451242</v>
      </c>
      <c r="I247" s="200">
        <v>16.324847350797718</v>
      </c>
      <c r="J247" s="200">
        <v>10.957504431751033</v>
      </c>
      <c r="K247" s="201">
        <v>56.40389925057756</v>
      </c>
      <c r="L247" s="200">
        <v>17.755113540316671</v>
      </c>
      <c r="M247" s="203">
        <v>25.840987209105766</v>
      </c>
      <c r="N247" s="434"/>
      <c r="O247" s="202">
        <v>68.71301980610572</v>
      </c>
      <c r="P247" s="200">
        <v>19.217200477791049</v>
      </c>
      <c r="Q247" s="200">
        <v>12.069779716103225</v>
      </c>
      <c r="R247" s="201">
        <v>52.811387900355875</v>
      </c>
      <c r="S247" s="200">
        <v>20.685053380782918</v>
      </c>
      <c r="T247" s="200">
        <v>26.503558718861207</v>
      </c>
      <c r="U247" s="202">
        <v>76.35604632372744</v>
      </c>
      <c r="V247" s="200">
        <v>15.203339617559925</v>
      </c>
      <c r="W247" s="200">
        <v>8.4406140587126313</v>
      </c>
      <c r="X247" s="201">
        <v>64.079728583545375</v>
      </c>
      <c r="Y247" s="200">
        <v>15.330788804071247</v>
      </c>
      <c r="Z247" s="203">
        <v>20.589482612383375</v>
      </c>
      <c r="AA247" s="200">
        <v>73.836850549179317</v>
      </c>
      <c r="AB247" s="204">
        <v>8.6140935456003938</v>
      </c>
      <c r="AC247" s="200">
        <v>17.549055905220289</v>
      </c>
      <c r="AD247" s="201">
        <v>58.738135120044667</v>
      </c>
      <c r="AE247" s="200">
        <v>5.7509771077610274</v>
      </c>
      <c r="AF247" s="205">
        <v>35.510887772194302</v>
      </c>
    </row>
    <row r="248" spans="1:32" x14ac:dyDescent="0.25">
      <c r="A248" s="199" t="s">
        <v>544</v>
      </c>
      <c r="B248" s="200">
        <v>66.247066353744401</v>
      </c>
      <c r="C248" s="200">
        <v>20.268828675058671</v>
      </c>
      <c r="D248" s="200">
        <v>13.484104971196928</v>
      </c>
      <c r="E248" s="201">
        <v>60.241452774677896</v>
      </c>
      <c r="F248" s="200">
        <v>27.523587298366643</v>
      </c>
      <c r="G248" s="200">
        <v>12.234959926955463</v>
      </c>
      <c r="H248" s="202">
        <v>66.507008167792677</v>
      </c>
      <c r="I248" s="200">
        <v>18.054855298981547</v>
      </c>
      <c r="J248" s="200">
        <v>15.438136533225775</v>
      </c>
      <c r="K248" s="201">
        <v>50.824325799759798</v>
      </c>
      <c r="L248" s="200">
        <v>26.771481602795067</v>
      </c>
      <c r="M248" s="203">
        <v>22.404192597445135</v>
      </c>
      <c r="N248" s="434"/>
      <c r="O248" s="202">
        <v>61.024454060581668</v>
      </c>
      <c r="P248" s="200">
        <v>25.218878937305021</v>
      </c>
      <c r="Q248" s="200">
        <v>13.756667002113312</v>
      </c>
      <c r="R248" s="201">
        <v>53.823324022346362</v>
      </c>
      <c r="S248" s="200">
        <v>24.633379888268156</v>
      </c>
      <c r="T248" s="200">
        <v>21.543296089385475</v>
      </c>
      <c r="U248" s="202">
        <v>72.985209779655904</v>
      </c>
      <c r="V248" s="200">
        <v>11.017204950196197</v>
      </c>
      <c r="W248" s="200">
        <v>15.997585270147901</v>
      </c>
      <c r="X248" s="201">
        <v>47.355057130765978</v>
      </c>
      <c r="Y248" s="200">
        <v>36.225137537029198</v>
      </c>
      <c r="Z248" s="203">
        <v>16.419805332204824</v>
      </c>
      <c r="AA248" s="200">
        <v>70.039743197798842</v>
      </c>
      <c r="AB248" s="204">
        <v>10.54723326199939</v>
      </c>
      <c r="AC248" s="200">
        <v>19.413023540201774</v>
      </c>
      <c r="AD248" s="201">
        <v>42.415730337078649</v>
      </c>
      <c r="AE248" s="200">
        <v>17.322097378277153</v>
      </c>
      <c r="AF248" s="205">
        <v>40.262172284644194</v>
      </c>
    </row>
    <row r="249" spans="1:32" x14ac:dyDescent="0.25">
      <c r="A249" s="199" t="s">
        <v>545</v>
      </c>
      <c r="B249" s="200">
        <v>59.039025981084905</v>
      </c>
      <c r="C249" s="200">
        <v>20.322861180563105</v>
      </c>
      <c r="D249" s="200">
        <v>20.638112838351994</v>
      </c>
      <c r="E249" s="201">
        <v>48.726400958945163</v>
      </c>
      <c r="F249" s="200">
        <v>32.652082709020078</v>
      </c>
      <c r="G249" s="200">
        <v>18.621516332034762</v>
      </c>
      <c r="H249" s="202">
        <v>67.926060245202848</v>
      </c>
      <c r="I249" s="200">
        <v>15.724376843757613</v>
      </c>
      <c r="J249" s="200">
        <v>16.349562911039541</v>
      </c>
      <c r="K249" s="201">
        <v>43.212976788380615</v>
      </c>
      <c r="L249" s="200">
        <v>29.238495995656304</v>
      </c>
      <c r="M249" s="203">
        <v>27.54852721596308</v>
      </c>
      <c r="N249" s="434"/>
      <c r="O249" s="202">
        <v>64.436159581827965</v>
      </c>
      <c r="P249" s="200">
        <v>21.711891767238065</v>
      </c>
      <c r="Q249" s="200">
        <v>13.851948650933968</v>
      </c>
      <c r="R249" s="201">
        <v>43.847465886939574</v>
      </c>
      <c r="S249" s="200">
        <v>33.260233918128655</v>
      </c>
      <c r="T249" s="200">
        <v>22.892300194931774</v>
      </c>
      <c r="U249" s="202">
        <v>72.802463704355475</v>
      </c>
      <c r="V249" s="200">
        <v>12.1718727086083</v>
      </c>
      <c r="W249" s="200">
        <v>15.025663587036222</v>
      </c>
      <c r="X249" s="201">
        <v>43.380429094714806</v>
      </c>
      <c r="Y249" s="200">
        <v>22.605965463108323</v>
      </c>
      <c r="Z249" s="203">
        <v>34.013605442176868</v>
      </c>
      <c r="AA249" s="200">
        <v>62.451940515052598</v>
      </c>
      <c r="AB249" s="204">
        <v>13.210010881392819</v>
      </c>
      <c r="AC249" s="200">
        <v>24.338048603554586</v>
      </c>
      <c r="AD249" s="201">
        <v>41.050295857988168</v>
      </c>
      <c r="AE249" s="200">
        <v>26.405325443786982</v>
      </c>
      <c r="AF249" s="205">
        <v>32.544378698224854</v>
      </c>
    </row>
    <row r="250" spans="1:32" x14ac:dyDescent="0.25">
      <c r="A250" s="199" t="s">
        <v>546</v>
      </c>
      <c r="B250" s="200">
        <v>74.584335192101094</v>
      </c>
      <c r="C250" s="200">
        <v>17.488332963853502</v>
      </c>
      <c r="D250" s="200">
        <v>7.9273318440454057</v>
      </c>
      <c r="E250" s="201">
        <v>52.987851799523156</v>
      </c>
      <c r="F250" s="200">
        <v>23.377401571823238</v>
      </c>
      <c r="G250" s="200">
        <v>23.634746628653605</v>
      </c>
      <c r="H250" s="202">
        <v>75.046573954537294</v>
      </c>
      <c r="I250" s="200">
        <v>14.342326736718253</v>
      </c>
      <c r="J250" s="200">
        <v>10.611099308744464</v>
      </c>
      <c r="K250" s="201">
        <v>52.347359675844274</v>
      </c>
      <c r="L250" s="200">
        <v>23.56396391144019</v>
      </c>
      <c r="M250" s="203">
        <v>24.088676412715532</v>
      </c>
      <c r="N250" s="434"/>
      <c r="O250" s="202">
        <v>74.177316237001349</v>
      </c>
      <c r="P250" s="200">
        <v>14.482940493075699</v>
      </c>
      <c r="Q250" s="200">
        <v>11.339743269922952</v>
      </c>
      <c r="R250" s="201">
        <v>53.301675858691254</v>
      </c>
      <c r="S250" s="200">
        <v>22.774216903387916</v>
      </c>
      <c r="T250" s="200">
        <v>23.924107237920829</v>
      </c>
      <c r="U250" s="202">
        <v>74.312445058395085</v>
      </c>
      <c r="V250" s="200">
        <v>14.763280170789903</v>
      </c>
      <c r="W250" s="200">
        <v>10.924274770815019</v>
      </c>
      <c r="X250" s="201">
        <v>53.913931809475159</v>
      </c>
      <c r="Y250" s="200">
        <v>27.557144681394458</v>
      </c>
      <c r="Z250" s="203">
        <v>18.528923509130379</v>
      </c>
      <c r="AA250" s="200">
        <v>82.310076895205114</v>
      </c>
      <c r="AB250" s="204">
        <v>12.198558718144852</v>
      </c>
      <c r="AC250" s="200">
        <v>5.4913643866500257</v>
      </c>
      <c r="AD250" s="201">
        <v>40.76177748078851</v>
      </c>
      <c r="AE250" s="200">
        <v>19.311727363848981</v>
      </c>
      <c r="AF250" s="205">
        <v>39.92649515536251</v>
      </c>
    </row>
    <row r="251" spans="1:32" x14ac:dyDescent="0.25">
      <c r="A251" s="199" t="s">
        <v>547</v>
      </c>
      <c r="B251" s="200">
        <v>79.382247992863526</v>
      </c>
      <c r="C251" s="200">
        <v>14.105709188224798</v>
      </c>
      <c r="D251" s="200">
        <v>6.5120428189116852</v>
      </c>
      <c r="E251" s="201">
        <v>51.886934295594642</v>
      </c>
      <c r="F251" s="200">
        <v>21.335137573297249</v>
      </c>
      <c r="G251" s="200">
        <v>26.777928131108101</v>
      </c>
      <c r="H251" s="202">
        <v>77.088984163093883</v>
      </c>
      <c r="I251" s="200">
        <v>12.827018986787994</v>
      </c>
      <c r="J251" s="200">
        <v>10.083996850118121</v>
      </c>
      <c r="K251" s="201">
        <v>51.009285425918449</v>
      </c>
      <c r="L251" s="200">
        <v>19.27735163504239</v>
      </c>
      <c r="M251" s="203">
        <v>29.713362939039161</v>
      </c>
      <c r="N251" s="434"/>
      <c r="O251" s="202">
        <v>78.133520978098332</v>
      </c>
      <c r="P251" s="200">
        <v>13.431260445069926</v>
      </c>
      <c r="Q251" s="200">
        <v>8.4352185768317351</v>
      </c>
      <c r="R251" s="201">
        <v>43.969144460028048</v>
      </c>
      <c r="S251" s="200">
        <v>31.100981767180926</v>
      </c>
      <c r="T251" s="200">
        <v>24.929873772791023</v>
      </c>
      <c r="U251" s="202">
        <v>74.442880600516077</v>
      </c>
      <c r="V251" s="200">
        <v>14.180154820548911</v>
      </c>
      <c r="W251" s="200">
        <v>11.376964578935024</v>
      </c>
      <c r="X251" s="201">
        <v>57.647907647907651</v>
      </c>
      <c r="Y251" s="200">
        <v>3.6075036075036073</v>
      </c>
      <c r="Z251" s="203">
        <v>38.744588744588739</v>
      </c>
      <c r="AA251" s="200">
        <v>80.695241309483634</v>
      </c>
      <c r="AB251" s="204">
        <v>6.6149173135335806</v>
      </c>
      <c r="AC251" s="200">
        <v>12.689841376982788</v>
      </c>
      <c r="AD251" s="201">
        <v>66.108786610878653</v>
      </c>
      <c r="AE251" s="200">
        <v>2.510460251046025</v>
      </c>
      <c r="AF251" s="205">
        <v>31.380753138075313</v>
      </c>
    </row>
    <row r="252" spans="1:32" x14ac:dyDescent="0.25">
      <c r="A252" s="199" t="s">
        <v>548</v>
      </c>
      <c r="B252" s="200">
        <v>59.846284764902137</v>
      </c>
      <c r="C252" s="200">
        <v>26.743479259249252</v>
      </c>
      <c r="D252" s="200">
        <v>13.410235975848609</v>
      </c>
      <c r="E252" s="201">
        <v>43.399575120337751</v>
      </c>
      <c r="F252" s="200">
        <v>22.21744157904644</v>
      </c>
      <c r="G252" s="200">
        <v>34.382983300615805</v>
      </c>
      <c r="H252" s="202">
        <v>63.570196287493431</v>
      </c>
      <c r="I252" s="200">
        <v>18.955700185847459</v>
      </c>
      <c r="J252" s="200">
        <v>17.474103526659114</v>
      </c>
      <c r="K252" s="201">
        <v>44.849642619502454</v>
      </c>
      <c r="L252" s="200">
        <v>21.275408358196142</v>
      </c>
      <c r="M252" s="203">
        <v>33.874949022301401</v>
      </c>
      <c r="N252" s="434"/>
      <c r="O252" s="202">
        <v>68.135743804434156</v>
      </c>
      <c r="P252" s="200">
        <v>17.28970075517924</v>
      </c>
      <c r="Q252" s="200">
        <v>14.574555440386607</v>
      </c>
      <c r="R252" s="201">
        <v>47.842223713823195</v>
      </c>
      <c r="S252" s="200">
        <v>18.707308406048881</v>
      </c>
      <c r="T252" s="200">
        <v>33.450467880127924</v>
      </c>
      <c r="U252" s="202">
        <v>61.826055575604478</v>
      </c>
      <c r="V252" s="200">
        <v>19.858053650908218</v>
      </c>
      <c r="W252" s="200">
        <v>18.315890773487308</v>
      </c>
      <c r="X252" s="201">
        <v>41.388926676642633</v>
      </c>
      <c r="Y252" s="200">
        <v>21.242007890082981</v>
      </c>
      <c r="Z252" s="203">
        <v>37.369065433274386</v>
      </c>
      <c r="AA252" s="200">
        <v>49.684977870346266</v>
      </c>
      <c r="AB252" s="204">
        <v>23.447019005467325</v>
      </c>
      <c r="AC252" s="200">
        <v>26.868003124186409</v>
      </c>
      <c r="AD252" s="201">
        <v>41.051829268292686</v>
      </c>
      <c r="AE252" s="200">
        <v>31.265243902439021</v>
      </c>
      <c r="AF252" s="205">
        <v>27.682926829268297</v>
      </c>
    </row>
    <row r="253" spans="1:32" x14ac:dyDescent="0.25">
      <c r="A253" s="199" t="s">
        <v>549</v>
      </c>
      <c r="B253" s="200">
        <v>69.385895588303654</v>
      </c>
      <c r="C253" s="200">
        <v>16.632420622007345</v>
      </c>
      <c r="D253" s="200">
        <v>13.981683789688995</v>
      </c>
      <c r="E253" s="201">
        <v>44.472033238979655</v>
      </c>
      <c r="F253" s="200">
        <v>21.305722467762493</v>
      </c>
      <c r="G253" s="200">
        <v>34.222244293257852</v>
      </c>
      <c r="H253" s="202">
        <v>74.534538176966464</v>
      </c>
      <c r="I253" s="200">
        <v>14.01375021364105</v>
      </c>
      <c r="J253" s="200">
        <v>11.451711609392486</v>
      </c>
      <c r="K253" s="201">
        <v>48.827174512539337</v>
      </c>
      <c r="L253" s="200">
        <v>20.807513869513024</v>
      </c>
      <c r="M253" s="203">
        <v>30.365311617947636</v>
      </c>
      <c r="N253" s="434"/>
      <c r="O253" s="202">
        <v>74.193579337209528</v>
      </c>
      <c r="P253" s="200">
        <v>14.607679465776293</v>
      </c>
      <c r="Q253" s="200">
        <v>11.198741197014181</v>
      </c>
      <c r="R253" s="201">
        <v>47.371111622319347</v>
      </c>
      <c r="S253" s="200">
        <v>20.458553791887123</v>
      </c>
      <c r="T253" s="200">
        <v>32.170334585793526</v>
      </c>
      <c r="U253" s="202">
        <v>75.369282790532125</v>
      </c>
      <c r="V253" s="200">
        <v>12.576970991279588</v>
      </c>
      <c r="W253" s="200">
        <v>12.053746218188289</v>
      </c>
      <c r="X253" s="201">
        <v>50.989898989898983</v>
      </c>
      <c r="Y253" s="200">
        <v>21.523809523809522</v>
      </c>
      <c r="Z253" s="203">
        <v>27.486291486291485</v>
      </c>
      <c r="AA253" s="200">
        <v>73.992272098459182</v>
      </c>
      <c r="AB253" s="204">
        <v>14.911987788007441</v>
      </c>
      <c r="AC253" s="200">
        <v>11.095740113533369</v>
      </c>
      <c r="AD253" s="201">
        <v>52.577914582531747</v>
      </c>
      <c r="AE253" s="200">
        <v>21.046556367833784</v>
      </c>
      <c r="AF253" s="205">
        <v>26.375529049634476</v>
      </c>
    </row>
    <row r="254" spans="1:32" x14ac:dyDescent="0.25">
      <c r="A254" s="199" t="s">
        <v>550</v>
      </c>
      <c r="B254" s="200">
        <v>57.882245254514018</v>
      </c>
      <c r="C254" s="200">
        <v>24.021414059600758</v>
      </c>
      <c r="D254" s="200">
        <v>18.096340685885224</v>
      </c>
      <c r="E254" s="201">
        <v>48.37563585070842</v>
      </c>
      <c r="F254" s="200">
        <v>21.880398878494855</v>
      </c>
      <c r="G254" s="200">
        <v>29.743965270796725</v>
      </c>
      <c r="H254" s="202">
        <v>60.433189086406045</v>
      </c>
      <c r="I254" s="200">
        <v>19.773191725481968</v>
      </c>
      <c r="J254" s="200">
        <v>19.793619188111975</v>
      </c>
      <c r="K254" s="201">
        <v>44.94449251219271</v>
      </c>
      <c r="L254" s="200">
        <v>23.441779912846716</v>
      </c>
      <c r="M254" s="203">
        <v>31.613727574960578</v>
      </c>
      <c r="N254" s="434"/>
      <c r="O254" s="202">
        <v>63.165663736176455</v>
      </c>
      <c r="P254" s="200">
        <v>19.278294665998295</v>
      </c>
      <c r="Q254" s="200">
        <v>17.556041597825249</v>
      </c>
      <c r="R254" s="201">
        <v>47.603596888348115</v>
      </c>
      <c r="S254" s="200">
        <v>22.748504036938382</v>
      </c>
      <c r="T254" s="200">
        <v>29.647899074713507</v>
      </c>
      <c r="U254" s="202">
        <v>59.390871920150389</v>
      </c>
      <c r="V254" s="200">
        <v>19.529449850513206</v>
      </c>
      <c r="W254" s="200">
        <v>21.079678229336409</v>
      </c>
      <c r="X254" s="201">
        <v>43.288364165287938</v>
      </c>
      <c r="Y254" s="200">
        <v>24.973383384233966</v>
      </c>
      <c r="Z254" s="203">
        <v>31.7382524504781</v>
      </c>
      <c r="AA254" s="200">
        <v>50.658649310810532</v>
      </c>
      <c r="AB254" s="204">
        <v>22.622788383882945</v>
      </c>
      <c r="AC254" s="200">
        <v>26.71856230530652</v>
      </c>
      <c r="AD254" s="201">
        <v>36.139806364941862</v>
      </c>
      <c r="AE254" s="200">
        <v>23.188724695418539</v>
      </c>
      <c r="AF254" s="205">
        <v>40.671468939639595</v>
      </c>
    </row>
    <row r="255" spans="1:32" x14ac:dyDescent="0.25">
      <c r="A255" s="199" t="s">
        <v>551</v>
      </c>
      <c r="B255" s="200">
        <v>79.707573284122361</v>
      </c>
      <c r="C255" s="200">
        <v>14.891049755128114</v>
      </c>
      <c r="D255" s="200">
        <v>5.4013769607495208</v>
      </c>
      <c r="E255" s="201">
        <v>52.173128944995497</v>
      </c>
      <c r="F255" s="200">
        <v>16.483318304779079</v>
      </c>
      <c r="G255" s="200">
        <v>31.343552750225427</v>
      </c>
      <c r="H255" s="202">
        <v>77.756008816429343</v>
      </c>
      <c r="I255" s="200">
        <v>9.5021516285904202</v>
      </c>
      <c r="J255" s="200">
        <v>12.741839554980233</v>
      </c>
      <c r="K255" s="201">
        <v>38.786565547128923</v>
      </c>
      <c r="L255" s="200">
        <v>29.19052778207708</v>
      </c>
      <c r="M255" s="203">
        <v>32.022906670793994</v>
      </c>
      <c r="N255" s="434"/>
      <c r="O255" s="202">
        <v>80.894203275279438</v>
      </c>
      <c r="P255" s="200">
        <v>7.7397972446061862</v>
      </c>
      <c r="Q255" s="200">
        <v>11.365999480114375</v>
      </c>
      <c r="R255" s="201">
        <v>30.75511274252753</v>
      </c>
      <c r="S255" s="200">
        <v>32.983744100681697</v>
      </c>
      <c r="T255" s="200">
        <v>36.261143156790773</v>
      </c>
      <c r="U255" s="202">
        <v>73.938642702200184</v>
      </c>
      <c r="V255" s="200">
        <v>9.4618324553248634</v>
      </c>
      <c r="W255" s="200">
        <v>16.599524842474949</v>
      </c>
      <c r="X255" s="201">
        <v>44.659656889872714</v>
      </c>
      <c r="Y255" s="200">
        <v>21.527393469839513</v>
      </c>
      <c r="Z255" s="203">
        <v>33.812949640287769</v>
      </c>
      <c r="AA255" s="200">
        <v>74.530449630051223</v>
      </c>
      <c r="AB255" s="204">
        <v>17.330677290836654</v>
      </c>
      <c r="AC255" s="200">
        <v>8.1388730791121233</v>
      </c>
      <c r="AD255" s="201">
        <v>62.61904761904762</v>
      </c>
      <c r="AE255" s="200">
        <v>28.452380952380953</v>
      </c>
      <c r="AF255" s="205">
        <v>8.9285714285714288</v>
      </c>
    </row>
    <row r="256" spans="1:32" x14ac:dyDescent="0.25">
      <c r="A256" s="199" t="s">
        <v>552</v>
      </c>
      <c r="B256" s="200">
        <v>65.708866095264867</v>
      </c>
      <c r="C256" s="200">
        <v>21.450985902299657</v>
      </c>
      <c r="D256" s="200">
        <v>12.840148002435484</v>
      </c>
      <c r="E256" s="201">
        <v>47.694870929644004</v>
      </c>
      <c r="F256" s="200">
        <v>27.419014678589505</v>
      </c>
      <c r="G256" s="200">
        <v>24.886114391766494</v>
      </c>
      <c r="H256" s="202">
        <v>70.353830886630391</v>
      </c>
      <c r="I256" s="200">
        <v>14.784017155436926</v>
      </c>
      <c r="J256" s="200">
        <v>14.862151957932678</v>
      </c>
      <c r="K256" s="201">
        <v>44.874264453650689</v>
      </c>
      <c r="L256" s="200">
        <v>25.495421801197981</v>
      </c>
      <c r="M256" s="203">
        <v>29.630313745151334</v>
      </c>
      <c r="N256" s="434"/>
      <c r="O256" s="202">
        <v>65.711367645693414</v>
      </c>
      <c r="P256" s="200">
        <v>15.369378849308285</v>
      </c>
      <c r="Q256" s="200">
        <v>18.919253504998299</v>
      </c>
      <c r="R256" s="201">
        <v>48.34336532725991</v>
      </c>
      <c r="S256" s="200">
        <v>22.807873759557506</v>
      </c>
      <c r="T256" s="200">
        <v>28.848760913182581</v>
      </c>
      <c r="U256" s="202">
        <v>72.95373207343134</v>
      </c>
      <c r="V256" s="200">
        <v>15.057030304590747</v>
      </c>
      <c r="W256" s="200">
        <v>11.989237621977908</v>
      </c>
      <c r="X256" s="201">
        <v>44.520259455816699</v>
      </c>
      <c r="Y256" s="200">
        <v>33.063768848454217</v>
      </c>
      <c r="Z256" s="203">
        <v>22.415971695729088</v>
      </c>
      <c r="AA256" s="200">
        <v>73.321629638597969</v>
      </c>
      <c r="AB256" s="204">
        <v>12.997154791452267</v>
      </c>
      <c r="AC256" s="200">
        <v>13.681215569949757</v>
      </c>
      <c r="AD256" s="201">
        <v>36.994067237969674</v>
      </c>
      <c r="AE256" s="200">
        <v>20.18457481872116</v>
      </c>
      <c r="AF256" s="205">
        <v>42.82135794330916</v>
      </c>
    </row>
    <row r="257" spans="1:32" x14ac:dyDescent="0.25">
      <c r="A257" s="199" t="s">
        <v>553</v>
      </c>
      <c r="B257" s="200">
        <v>73.319737926845136</v>
      </c>
      <c r="C257" s="200">
        <v>18.12383390462967</v>
      </c>
      <c r="D257" s="200">
        <v>8.5564281685251871</v>
      </c>
      <c r="E257" s="201">
        <v>48.288431725813886</v>
      </c>
      <c r="F257" s="200">
        <v>32.635019063979556</v>
      </c>
      <c r="G257" s="200">
        <v>19.076549210206561</v>
      </c>
      <c r="H257" s="202">
        <v>73.157147537403077</v>
      </c>
      <c r="I257" s="200">
        <v>14.244840013104728</v>
      </c>
      <c r="J257" s="200">
        <v>12.598012449492192</v>
      </c>
      <c r="K257" s="201">
        <v>48.488780338879565</v>
      </c>
      <c r="L257" s="200">
        <v>28.003358265913604</v>
      </c>
      <c r="M257" s="203">
        <v>23.507861395206838</v>
      </c>
      <c r="N257" s="434"/>
      <c r="O257" s="202">
        <v>77.341645501423841</v>
      </c>
      <c r="P257" s="200">
        <v>10.821211421534672</v>
      </c>
      <c r="Q257" s="200">
        <v>11.837143077041484</v>
      </c>
      <c r="R257" s="201">
        <v>49.215425531914889</v>
      </c>
      <c r="S257" s="200">
        <v>25.611702127659576</v>
      </c>
      <c r="T257" s="200">
        <v>25.172872340425535</v>
      </c>
      <c r="U257" s="202">
        <v>70.379746835443029</v>
      </c>
      <c r="V257" s="200">
        <v>18.334443704197202</v>
      </c>
      <c r="W257" s="200">
        <v>11.285809460359761</v>
      </c>
      <c r="X257" s="201">
        <v>44.255663430420711</v>
      </c>
      <c r="Y257" s="200">
        <v>36.785329018338722</v>
      </c>
      <c r="Z257" s="203">
        <v>18.95900755124056</v>
      </c>
      <c r="AA257" s="200">
        <v>59.156400083524744</v>
      </c>
      <c r="AB257" s="204">
        <v>20.004176237210274</v>
      </c>
      <c r="AC257" s="200">
        <v>20.839423679264982</v>
      </c>
      <c r="AD257" s="201">
        <v>53.948772678762005</v>
      </c>
      <c r="AE257" s="200">
        <v>20.224119530416221</v>
      </c>
      <c r="AF257" s="205">
        <v>25.827107790821774</v>
      </c>
    </row>
    <row r="258" spans="1:32" x14ac:dyDescent="0.25">
      <c r="A258" s="199" t="s">
        <v>554</v>
      </c>
      <c r="B258" s="200">
        <v>72.908313285217858</v>
      </c>
      <c r="C258" s="200">
        <v>17.60224538893344</v>
      </c>
      <c r="D258" s="200">
        <v>9.4894413258487038</v>
      </c>
      <c r="E258" s="201">
        <v>43.131049888309754</v>
      </c>
      <c r="F258" s="200">
        <v>30.18428890543559</v>
      </c>
      <c r="G258" s="200">
        <v>26.684661206254656</v>
      </c>
      <c r="H258" s="202">
        <v>70.815924013183505</v>
      </c>
      <c r="I258" s="200">
        <v>17.003607297640983</v>
      </c>
      <c r="J258" s="200">
        <v>12.180468689175513</v>
      </c>
      <c r="K258" s="201">
        <v>35.391169635941132</v>
      </c>
      <c r="L258" s="200">
        <v>28.838109992254068</v>
      </c>
      <c r="M258" s="203">
        <v>35.770720371804806</v>
      </c>
      <c r="N258" s="434"/>
      <c r="O258" s="202">
        <v>69.855699855699854</v>
      </c>
      <c r="P258" s="200">
        <v>14.047619047619047</v>
      </c>
      <c r="Q258" s="200">
        <v>16.096681096681099</v>
      </c>
      <c r="R258" s="201">
        <v>29.772502472799207</v>
      </c>
      <c r="S258" s="200">
        <v>34.378974141585417</v>
      </c>
      <c r="T258" s="200">
        <v>35.848523385615373</v>
      </c>
      <c r="U258" s="202">
        <v>70.549496316734789</v>
      </c>
      <c r="V258" s="200">
        <v>20.420647109352629</v>
      </c>
      <c r="W258" s="200">
        <v>9.0298565739125909</v>
      </c>
      <c r="X258" s="201">
        <v>33.850931677018629</v>
      </c>
      <c r="Y258" s="200">
        <v>29.580745341614907</v>
      </c>
      <c r="Z258" s="203">
        <v>36.568322981366457</v>
      </c>
      <c r="AA258" s="200">
        <v>74.187940342208805</v>
      </c>
      <c r="AB258" s="204">
        <v>12.489706286027999</v>
      </c>
      <c r="AC258" s="200">
        <v>13.322353371763199</v>
      </c>
      <c r="AD258" s="201">
        <v>58.608430675469783</v>
      </c>
      <c r="AE258" s="200">
        <v>7.4657186389029961</v>
      </c>
      <c r="AF258" s="205">
        <v>33.925850685627225</v>
      </c>
    </row>
    <row r="259" spans="1:32" x14ac:dyDescent="0.25">
      <c r="A259" s="199" t="s">
        <v>555</v>
      </c>
      <c r="B259" s="200">
        <v>44.79152332461814</v>
      </c>
      <c r="C259" s="200">
        <v>37.897344158524838</v>
      </c>
      <c r="D259" s="200">
        <v>17.311132516857025</v>
      </c>
      <c r="E259" s="201">
        <v>56.15544348857906</v>
      </c>
      <c r="F259" s="200">
        <v>18.451498071788784</v>
      </c>
      <c r="G259" s="200">
        <v>25.393058439632156</v>
      </c>
      <c r="H259" s="202">
        <v>61.590477513778886</v>
      </c>
      <c r="I259" s="200">
        <v>19.684127645778336</v>
      </c>
      <c r="J259" s="200">
        <v>18.725394840442778</v>
      </c>
      <c r="K259" s="201">
        <v>44.663799843627835</v>
      </c>
      <c r="L259" s="200">
        <v>20.582486317435496</v>
      </c>
      <c r="M259" s="203">
        <v>34.753713838936669</v>
      </c>
      <c r="N259" s="434"/>
      <c r="O259" s="202">
        <v>67.973167225682801</v>
      </c>
      <c r="P259" s="200">
        <v>16.185912793483471</v>
      </c>
      <c r="Q259" s="200">
        <v>15.840919980833732</v>
      </c>
      <c r="R259" s="201">
        <v>49.541607898448518</v>
      </c>
      <c r="S259" s="200">
        <v>19.887165021156559</v>
      </c>
      <c r="T259" s="200">
        <v>30.571227080394927</v>
      </c>
      <c r="U259" s="202">
        <v>59.949361261364942</v>
      </c>
      <c r="V259" s="200">
        <v>23.063643687420875</v>
      </c>
      <c r="W259" s="200">
        <v>16.98699505121418</v>
      </c>
      <c r="X259" s="201">
        <v>61.458333333333336</v>
      </c>
      <c r="Y259" s="200">
        <v>21.527777777777779</v>
      </c>
      <c r="Z259" s="203">
        <v>17.013888888888889</v>
      </c>
      <c r="AA259" s="200">
        <v>40.389294403892947</v>
      </c>
      <c r="AB259" s="204">
        <v>22.546634225466342</v>
      </c>
      <c r="AC259" s="200">
        <v>37.064071370640711</v>
      </c>
      <c r="AD259" s="201">
        <v>30.909090909090907</v>
      </c>
      <c r="AE259" s="200">
        <v>21.407624633431084</v>
      </c>
      <c r="AF259" s="205">
        <v>47.683284457478003</v>
      </c>
    </row>
    <row r="260" spans="1:32" x14ac:dyDescent="0.25">
      <c r="A260" s="199" t="s">
        <v>556</v>
      </c>
      <c r="B260" s="200">
        <v>85.381515130814947</v>
      </c>
      <c r="C260" s="200">
        <v>8.8394015984698413</v>
      </c>
      <c r="D260" s="200">
        <v>5.7790832707152129</v>
      </c>
      <c r="E260" s="201">
        <v>64.43362831858407</v>
      </c>
      <c r="F260" s="200">
        <v>22.389380530973451</v>
      </c>
      <c r="G260" s="200">
        <v>13.176991150442477</v>
      </c>
      <c r="H260" s="202">
        <v>88.191423244251084</v>
      </c>
      <c r="I260" s="200">
        <v>8.1572405220633932</v>
      </c>
      <c r="J260" s="200">
        <v>3.6513362336855191</v>
      </c>
      <c r="K260" s="201">
        <v>59.733978234582828</v>
      </c>
      <c r="L260" s="200">
        <v>17.001209189842807</v>
      </c>
      <c r="M260" s="203">
        <v>23.264812575574364</v>
      </c>
      <c r="N260" s="434"/>
      <c r="O260" s="202">
        <v>91.855634412324733</v>
      </c>
      <c r="P260" s="200">
        <v>5.8940626622814607</v>
      </c>
      <c r="Q260" s="200">
        <v>2.2503029253938029</v>
      </c>
      <c r="R260" s="201">
        <v>56.967715570085822</v>
      </c>
      <c r="S260" s="200">
        <v>18.062934205149162</v>
      </c>
      <c r="T260" s="200">
        <v>24.969350224765019</v>
      </c>
      <c r="U260" s="202">
        <v>85.347537548026537</v>
      </c>
      <c r="V260" s="200">
        <v>9.6053091163115614</v>
      </c>
      <c r="W260" s="200">
        <v>5.0471533356618927</v>
      </c>
      <c r="X260" s="201">
        <v>76.912080057183701</v>
      </c>
      <c r="Y260" s="200">
        <v>13.366690493209434</v>
      </c>
      <c r="Z260" s="203">
        <v>9.721229449606863</v>
      </c>
      <c r="AA260" s="200">
        <v>75.345167652859956</v>
      </c>
      <c r="AB260" s="204">
        <v>16.962524654832347</v>
      </c>
      <c r="AC260" s="200">
        <v>7.6923076923076925</v>
      </c>
      <c r="AD260" s="201">
        <v>0</v>
      </c>
      <c r="AE260" s="200">
        <v>25.605536332179931</v>
      </c>
      <c r="AF260" s="205">
        <v>74.394463667820062</v>
      </c>
    </row>
    <row r="261" spans="1:32" x14ac:dyDescent="0.25">
      <c r="A261" s="199" t="s">
        <v>557</v>
      </c>
      <c r="B261" s="200">
        <v>73.938939675826163</v>
      </c>
      <c r="C261" s="200">
        <v>17.816176569004057</v>
      </c>
      <c r="D261" s="200">
        <v>8.2448837551697842</v>
      </c>
      <c r="E261" s="201">
        <v>57.53577242738411</v>
      </c>
      <c r="F261" s="200">
        <v>23.608374032502212</v>
      </c>
      <c r="G261" s="200">
        <v>18.855853540113674</v>
      </c>
      <c r="H261" s="202">
        <v>82.30312015264451</v>
      </c>
      <c r="I261" s="200">
        <v>10.295268294691761</v>
      </c>
      <c r="J261" s="200">
        <v>7.4016115526637298</v>
      </c>
      <c r="K261" s="201">
        <v>51.146280136074537</v>
      </c>
      <c r="L261" s="200">
        <v>18.347877532909333</v>
      </c>
      <c r="M261" s="203">
        <v>30.505842331016119</v>
      </c>
      <c r="N261" s="434"/>
      <c r="O261" s="202">
        <v>83.336915251808875</v>
      </c>
      <c r="P261" s="200">
        <v>9.7261026339040519</v>
      </c>
      <c r="Q261" s="200">
        <v>6.936982114287078</v>
      </c>
      <c r="R261" s="201">
        <v>52.041547277936964</v>
      </c>
      <c r="S261" s="200">
        <v>20.200573065902582</v>
      </c>
      <c r="T261" s="200">
        <v>27.757879656160455</v>
      </c>
      <c r="U261" s="202">
        <v>79.447839466042552</v>
      </c>
      <c r="V261" s="200">
        <v>12.083387509209899</v>
      </c>
      <c r="W261" s="200">
        <v>8.4687730247475397</v>
      </c>
      <c r="X261" s="201">
        <v>58.850146393398987</v>
      </c>
      <c r="Y261" s="200">
        <v>19.244077721586372</v>
      </c>
      <c r="Z261" s="203">
        <v>21.905775885014638</v>
      </c>
      <c r="AA261" s="200">
        <v>85.151898734177209</v>
      </c>
      <c r="AB261" s="204">
        <v>8.0886075949367093</v>
      </c>
      <c r="AC261" s="200">
        <v>6.7594936708860756</v>
      </c>
      <c r="AD261" s="201">
        <v>24.910007199424047</v>
      </c>
      <c r="AE261" s="200">
        <v>4.7516198704103676</v>
      </c>
      <c r="AF261" s="205">
        <v>70.338372930165576</v>
      </c>
    </row>
    <row r="262" spans="1:32" x14ac:dyDescent="0.25">
      <c r="A262" s="199" t="s">
        <v>558</v>
      </c>
      <c r="B262" s="200">
        <v>80.469272526481163</v>
      </c>
      <c r="C262" s="200">
        <v>12.015678710861552</v>
      </c>
      <c r="D262" s="200">
        <v>7.5150487626572922</v>
      </c>
      <c r="E262" s="201">
        <v>55.879677807913865</v>
      </c>
      <c r="F262" s="200">
        <v>22.071632838682717</v>
      </c>
      <c r="G262" s="200">
        <v>22.048689353403418</v>
      </c>
      <c r="H262" s="202">
        <v>78.845568330906815</v>
      </c>
      <c r="I262" s="200">
        <v>12.368040831917096</v>
      </c>
      <c r="J262" s="200">
        <v>8.7863908371760875</v>
      </c>
      <c r="K262" s="201">
        <v>45.360595209380854</v>
      </c>
      <c r="L262" s="200">
        <v>24.157188711802142</v>
      </c>
      <c r="M262" s="203">
        <v>30.482216078817004</v>
      </c>
      <c r="N262" s="434"/>
      <c r="O262" s="202">
        <v>78.411757198535255</v>
      </c>
      <c r="P262" s="200">
        <v>12.135164587035273</v>
      </c>
      <c r="Q262" s="200">
        <v>9.4530782144294676</v>
      </c>
      <c r="R262" s="201">
        <v>49.68523002421307</v>
      </c>
      <c r="S262" s="200">
        <v>24.515738498789347</v>
      </c>
      <c r="T262" s="200">
        <v>25.79903147699758</v>
      </c>
      <c r="U262" s="202">
        <v>79.612206082843812</v>
      </c>
      <c r="V262" s="200">
        <v>12.727854173329071</v>
      </c>
      <c r="W262" s="200">
        <v>7.6599397438271088</v>
      </c>
      <c r="X262" s="201">
        <v>42.672741078208048</v>
      </c>
      <c r="Y262" s="200">
        <v>27.949195830744806</v>
      </c>
      <c r="Z262" s="203">
        <v>29.378063091047146</v>
      </c>
      <c r="AA262" s="200">
        <v>78.77239171958081</v>
      </c>
      <c r="AB262" s="204">
        <v>12.492901760363431</v>
      </c>
      <c r="AC262" s="200">
        <v>8.7347065200557523</v>
      </c>
      <c r="AD262" s="201">
        <v>29.031245093421258</v>
      </c>
      <c r="AE262" s="200">
        <v>13.675616266289842</v>
      </c>
      <c r="AF262" s="205">
        <v>57.293138640288902</v>
      </c>
    </row>
    <row r="263" spans="1:32" x14ac:dyDescent="0.25">
      <c r="A263" s="199" t="s">
        <v>559</v>
      </c>
      <c r="B263" s="200">
        <v>63.019540942928046</v>
      </c>
      <c r="C263" s="200">
        <v>22.902450372208435</v>
      </c>
      <c r="D263" s="200">
        <v>14.078008684863525</v>
      </c>
      <c r="E263" s="201">
        <v>43.999464237878385</v>
      </c>
      <c r="F263" s="200">
        <v>32.007322082328784</v>
      </c>
      <c r="G263" s="200">
        <v>23.993213679792838</v>
      </c>
      <c r="H263" s="202">
        <v>75.597939841490088</v>
      </c>
      <c r="I263" s="200">
        <v>16.591801697984526</v>
      </c>
      <c r="J263" s="200">
        <v>7.8102584605253877</v>
      </c>
      <c r="K263" s="201">
        <v>41.113214039917409</v>
      </c>
      <c r="L263" s="200">
        <v>30.83275980729525</v>
      </c>
      <c r="M263" s="203">
        <v>28.054026152787337</v>
      </c>
      <c r="N263" s="434"/>
      <c r="O263" s="202">
        <v>71.597509506497843</v>
      </c>
      <c r="P263" s="200">
        <v>20.266599807780704</v>
      </c>
      <c r="Q263" s="200">
        <v>8.1358906857214492</v>
      </c>
      <c r="R263" s="201">
        <v>42.599277978339352</v>
      </c>
      <c r="S263" s="200">
        <v>26.151624548736464</v>
      </c>
      <c r="T263" s="200">
        <v>31.249097472924188</v>
      </c>
      <c r="U263" s="202">
        <v>80.782614871102908</v>
      </c>
      <c r="V263" s="200">
        <v>13.195085576308502</v>
      </c>
      <c r="W263" s="200">
        <v>6.0222995525885947</v>
      </c>
      <c r="X263" s="201">
        <v>35.222794786298877</v>
      </c>
      <c r="Y263" s="200">
        <v>41.891482267353744</v>
      </c>
      <c r="Z263" s="203">
        <v>22.885722946347379</v>
      </c>
      <c r="AA263" s="200">
        <v>80.638722554890222</v>
      </c>
      <c r="AB263" s="204">
        <v>7.6957196717675753</v>
      </c>
      <c r="AC263" s="200">
        <v>11.665557773342204</v>
      </c>
      <c r="AD263" s="201">
        <v>47.642857142857139</v>
      </c>
      <c r="AE263" s="200">
        <v>27.928571428571431</v>
      </c>
      <c r="AF263" s="205">
        <v>24.428571428571427</v>
      </c>
    </row>
    <row r="264" spans="1:32" x14ac:dyDescent="0.25">
      <c r="A264" s="199" t="s">
        <v>560</v>
      </c>
      <c r="B264" s="200">
        <v>80.657933224687639</v>
      </c>
      <c r="C264" s="200">
        <v>13.721741673979357</v>
      </c>
      <c r="D264" s="200">
        <v>5.6203251013329991</v>
      </c>
      <c r="E264" s="201">
        <v>58.066123940853963</v>
      </c>
      <c r="F264" s="200">
        <v>22.405240547789145</v>
      </c>
      <c r="G264" s="200">
        <v>19.528635511356892</v>
      </c>
      <c r="H264" s="202">
        <v>79.194121609588777</v>
      </c>
      <c r="I264" s="200">
        <v>12.408730865421095</v>
      </c>
      <c r="J264" s="200">
        <v>8.3971475249901282</v>
      </c>
      <c r="K264" s="201">
        <v>51.640263362180505</v>
      </c>
      <c r="L264" s="200">
        <v>18.515856358356576</v>
      </c>
      <c r="M264" s="203">
        <v>29.843880279462926</v>
      </c>
      <c r="N264" s="434"/>
      <c r="O264" s="202">
        <v>81.012957968821937</v>
      </c>
      <c r="P264" s="200">
        <v>10.76761165559429</v>
      </c>
      <c r="Q264" s="200">
        <v>8.2194303755837659</v>
      </c>
      <c r="R264" s="201">
        <v>55.476745846622556</v>
      </c>
      <c r="S264" s="200">
        <v>16.756319322130718</v>
      </c>
      <c r="T264" s="200">
        <v>27.766934831246726</v>
      </c>
      <c r="U264" s="202">
        <v>79.599589322381931</v>
      </c>
      <c r="V264" s="200">
        <v>12.410164271047227</v>
      </c>
      <c r="W264" s="200">
        <v>7.9902464065708418</v>
      </c>
      <c r="X264" s="201">
        <v>60.710441334768575</v>
      </c>
      <c r="Y264" s="200">
        <v>18.11087190527449</v>
      </c>
      <c r="Z264" s="203">
        <v>21.178686759956943</v>
      </c>
      <c r="AA264" s="200">
        <v>68.321929886435768</v>
      </c>
      <c r="AB264" s="204">
        <v>21.21041122945616</v>
      </c>
      <c r="AC264" s="200">
        <v>10.467658884108062</v>
      </c>
      <c r="AD264" s="201">
        <v>28.314677597351412</v>
      </c>
      <c r="AE264" s="200">
        <v>24.830521835093805</v>
      </c>
      <c r="AF264" s="205">
        <v>46.854800567554783</v>
      </c>
    </row>
    <row r="265" spans="1:32" x14ac:dyDescent="0.25">
      <c r="A265" s="199" t="s">
        <v>561</v>
      </c>
      <c r="B265" s="200">
        <v>65.168696626067486</v>
      </c>
      <c r="C265" s="200">
        <v>19.386252274954501</v>
      </c>
      <c r="D265" s="200">
        <v>15.445051098978022</v>
      </c>
      <c r="E265" s="201">
        <v>42.251598796737134</v>
      </c>
      <c r="F265" s="200">
        <v>25.818570235220545</v>
      </c>
      <c r="G265" s="200">
        <v>31.929830968042321</v>
      </c>
      <c r="H265" s="202">
        <v>66.257787332496562</v>
      </c>
      <c r="I265" s="200">
        <v>17.034308504537218</v>
      </c>
      <c r="J265" s="200">
        <v>16.707904162966216</v>
      </c>
      <c r="K265" s="201">
        <v>43.760944042634179</v>
      </c>
      <c r="L265" s="200">
        <v>23.892906991498542</v>
      </c>
      <c r="M265" s="203">
        <v>32.346148965867279</v>
      </c>
      <c r="N265" s="434"/>
      <c r="O265" s="202">
        <v>66.371676066469604</v>
      </c>
      <c r="P265" s="200">
        <v>17.62024796136107</v>
      </c>
      <c r="Q265" s="200">
        <v>16.00807597216933</v>
      </c>
      <c r="R265" s="201">
        <v>44.865579550462762</v>
      </c>
      <c r="S265" s="200">
        <v>27.501101806963419</v>
      </c>
      <c r="T265" s="200">
        <v>27.633318642573823</v>
      </c>
      <c r="U265" s="202">
        <v>65.010020777023925</v>
      </c>
      <c r="V265" s="200">
        <v>16.586684317943625</v>
      </c>
      <c r="W265" s="200">
        <v>18.403294905032453</v>
      </c>
      <c r="X265" s="201">
        <v>40.966839425767098</v>
      </c>
      <c r="Y265" s="200">
        <v>20.419208365821216</v>
      </c>
      <c r="Z265" s="203">
        <v>38.613952208411682</v>
      </c>
      <c r="AA265" s="200">
        <v>70.035552682611495</v>
      </c>
      <c r="AB265" s="204">
        <v>15.475113122171946</v>
      </c>
      <c r="AC265" s="200">
        <v>14.48933419521655</v>
      </c>
      <c r="AD265" s="201">
        <v>44.576103822824095</v>
      </c>
      <c r="AE265" s="200">
        <v>9.169135280011286</v>
      </c>
      <c r="AF265" s="205">
        <v>46.254760897164623</v>
      </c>
    </row>
    <row r="266" spans="1:32" x14ac:dyDescent="0.25">
      <c r="A266" s="199" t="s">
        <v>562</v>
      </c>
      <c r="B266" s="200">
        <v>82.207718501702615</v>
      </c>
      <c r="C266" s="200">
        <v>8.3711691259931893</v>
      </c>
      <c r="D266" s="200">
        <v>9.421112372304199</v>
      </c>
      <c r="E266" s="201">
        <v>67.042937772379801</v>
      </c>
      <c r="F266" s="200">
        <v>15.210402229049084</v>
      </c>
      <c r="G266" s="200">
        <v>17.746659998571126</v>
      </c>
      <c r="H266" s="202">
        <v>76.662291393212072</v>
      </c>
      <c r="I266" s="200">
        <v>11.914494655915995</v>
      </c>
      <c r="J266" s="200">
        <v>11.423213950871929</v>
      </c>
      <c r="K266" s="201">
        <v>60.952380952380956</v>
      </c>
      <c r="L266" s="200">
        <v>24.034242910647404</v>
      </c>
      <c r="M266" s="203">
        <v>15.013376136971642</v>
      </c>
      <c r="N266" s="434"/>
      <c r="O266" s="202">
        <v>76.888658323065954</v>
      </c>
      <c r="P266" s="200">
        <v>11.205498994877114</v>
      </c>
      <c r="Q266" s="200">
        <v>11.905842682056935</v>
      </c>
      <c r="R266" s="201">
        <v>75.159116435791844</v>
      </c>
      <c r="S266" s="200">
        <v>15.687008611007114</v>
      </c>
      <c r="T266" s="200">
        <v>9.1538749532010488</v>
      </c>
      <c r="U266" s="202">
        <v>75.275532696546648</v>
      </c>
      <c r="V266" s="200">
        <v>10.886602987999021</v>
      </c>
      <c r="W266" s="200">
        <v>13.837864315454324</v>
      </c>
      <c r="X266" s="201">
        <v>39.263351749539595</v>
      </c>
      <c r="Y266" s="200">
        <v>43.314917127071823</v>
      </c>
      <c r="Z266" s="203">
        <v>17.421731123388582</v>
      </c>
      <c r="AA266" s="200">
        <v>79.207277452891489</v>
      </c>
      <c r="AB266" s="204">
        <v>18.193632228719949</v>
      </c>
      <c r="AC266" s="200">
        <v>2.5990903183885639</v>
      </c>
      <c r="AD266" s="201">
        <v>47.748447204968947</v>
      </c>
      <c r="AE266" s="200">
        <v>18.012422360248447</v>
      </c>
      <c r="AF266" s="205">
        <v>34.239130434782609</v>
      </c>
    </row>
    <row r="267" spans="1:32" x14ac:dyDescent="0.25">
      <c r="A267" s="199" t="s">
        <v>563</v>
      </c>
      <c r="B267" s="200">
        <v>88.865254029289048</v>
      </c>
      <c r="C267" s="200">
        <v>9.2612288308925805</v>
      </c>
      <c r="D267" s="200">
        <v>1.8735171398183752</v>
      </c>
      <c r="E267" s="201">
        <v>52.468549727035366</v>
      </c>
      <c r="F267" s="200">
        <v>21.587942084025634</v>
      </c>
      <c r="G267" s="200">
        <v>25.943508188938996</v>
      </c>
      <c r="H267" s="202">
        <v>82.214296042801365</v>
      </c>
      <c r="I267" s="200">
        <v>8.1650359088060931</v>
      </c>
      <c r="J267" s="200">
        <v>9.6206680483925382</v>
      </c>
      <c r="K267" s="201">
        <v>59.923825645366058</v>
      </c>
      <c r="L267" s="200">
        <v>10.68556919170546</v>
      </c>
      <c r="M267" s="203">
        <v>29.39060516292848</v>
      </c>
      <c r="N267" s="434"/>
      <c r="O267" s="202">
        <v>77.945026178010465</v>
      </c>
      <c r="P267" s="200">
        <v>10.888416230366492</v>
      </c>
      <c r="Q267" s="200">
        <v>11.166557591623038</v>
      </c>
      <c r="R267" s="201">
        <v>63.414634146341463</v>
      </c>
      <c r="S267" s="200">
        <v>9.1802168021680224</v>
      </c>
      <c r="T267" s="200">
        <v>27.405149051490511</v>
      </c>
      <c r="U267" s="202">
        <v>86.54634946677605</v>
      </c>
      <c r="V267" s="200">
        <v>5.2830188679245289</v>
      </c>
      <c r="W267" s="200">
        <v>8.1706316652994264</v>
      </c>
      <c r="X267" s="201">
        <v>65.469613259668506</v>
      </c>
      <c r="Y267" s="200">
        <v>21.546961325966851</v>
      </c>
      <c r="Z267" s="203">
        <v>12.983425414364641</v>
      </c>
      <c r="AA267" s="200">
        <v>92.833607907743001</v>
      </c>
      <c r="AB267" s="204">
        <v>1.6886326194398682</v>
      </c>
      <c r="AC267" s="200">
        <v>5.4777594728171337</v>
      </c>
      <c r="AD267" s="201">
        <v>36.191860465116278</v>
      </c>
      <c r="AE267" s="200">
        <v>0</v>
      </c>
      <c r="AF267" s="205">
        <v>63.808139534883722</v>
      </c>
    </row>
    <row r="268" spans="1:32" x14ac:dyDescent="0.25">
      <c r="A268" s="199" t="s">
        <v>564</v>
      </c>
      <c r="B268" s="200">
        <v>57.851809120917864</v>
      </c>
      <c r="C268" s="200">
        <v>29.857705989808675</v>
      </c>
      <c r="D268" s="200">
        <v>12.290484889273468</v>
      </c>
      <c r="E268" s="201">
        <v>36.969548133595289</v>
      </c>
      <c r="F268" s="200">
        <v>28.480681074001307</v>
      </c>
      <c r="G268" s="200">
        <v>34.549770792403407</v>
      </c>
      <c r="H268" s="202">
        <v>64.965015650893022</v>
      </c>
      <c r="I268" s="200">
        <v>20.042349475234765</v>
      </c>
      <c r="J268" s="200">
        <v>14.992634873872216</v>
      </c>
      <c r="K268" s="201">
        <v>46.599010316195589</v>
      </c>
      <c r="L268" s="200">
        <v>23.170902177863514</v>
      </c>
      <c r="M268" s="203">
        <v>30.230087505940901</v>
      </c>
      <c r="N268" s="434"/>
      <c r="O268" s="202">
        <v>63.850989061752429</v>
      </c>
      <c r="P268" s="200">
        <v>21.67521818751753</v>
      </c>
      <c r="Q268" s="200">
        <v>14.473792750730041</v>
      </c>
      <c r="R268" s="201">
        <v>51.240185581727339</v>
      </c>
      <c r="S268" s="200">
        <v>20.637044967880087</v>
      </c>
      <c r="T268" s="200">
        <v>28.122769450392575</v>
      </c>
      <c r="U268" s="202">
        <v>64.905474653310563</v>
      </c>
      <c r="V268" s="200">
        <v>19.649112648736285</v>
      </c>
      <c r="W268" s="200">
        <v>15.445412697953156</v>
      </c>
      <c r="X268" s="201">
        <v>38.902262879152623</v>
      </c>
      <c r="Y268" s="200">
        <v>30.77756379393356</v>
      </c>
      <c r="Z268" s="203">
        <v>30.320173326913817</v>
      </c>
      <c r="AA268" s="200">
        <v>70.132184761621858</v>
      </c>
      <c r="AB268" s="204">
        <v>13.701173325412149</v>
      </c>
      <c r="AC268" s="200">
        <v>16.166641912965986</v>
      </c>
      <c r="AD268" s="201">
        <v>38.652130822596632</v>
      </c>
      <c r="AE268" s="200">
        <v>21.902874132804754</v>
      </c>
      <c r="AF268" s="205">
        <v>39.444995044598613</v>
      </c>
    </row>
    <row r="269" spans="1:32" x14ac:dyDescent="0.25">
      <c r="A269" s="199" t="s">
        <v>565</v>
      </c>
      <c r="B269" s="200">
        <v>66.939863730621113</v>
      </c>
      <c r="C269" s="200">
        <v>17.191665843783944</v>
      </c>
      <c r="D269" s="200">
        <v>15.868470425594944</v>
      </c>
      <c r="E269" s="201">
        <v>49.681863288774736</v>
      </c>
      <c r="F269" s="200">
        <v>23.612165080847586</v>
      </c>
      <c r="G269" s="200">
        <v>26.705971630377679</v>
      </c>
      <c r="H269" s="202">
        <v>71.35144226726095</v>
      </c>
      <c r="I269" s="200">
        <v>13.63804558069128</v>
      </c>
      <c r="J269" s="200">
        <v>15.010512152047767</v>
      </c>
      <c r="K269" s="201">
        <v>45.150323584828378</v>
      </c>
      <c r="L269" s="200">
        <v>26.734660440730728</v>
      </c>
      <c r="M269" s="203">
        <v>28.115015974440894</v>
      </c>
      <c r="N269" s="434"/>
      <c r="O269" s="202">
        <v>68.099793265356183</v>
      </c>
      <c r="P269" s="200">
        <v>14.255930481096044</v>
      </c>
      <c r="Q269" s="200">
        <v>17.644276253547776</v>
      </c>
      <c r="R269" s="201">
        <v>46.309291747888238</v>
      </c>
      <c r="S269" s="200">
        <v>26.809616634178035</v>
      </c>
      <c r="T269" s="200">
        <v>26.881091617933723</v>
      </c>
      <c r="U269" s="202">
        <v>76.244264802272227</v>
      </c>
      <c r="V269" s="200">
        <v>12.152064671181998</v>
      </c>
      <c r="W269" s="200">
        <v>11.603670526545773</v>
      </c>
      <c r="X269" s="201">
        <v>45.854922279792746</v>
      </c>
      <c r="Y269" s="200">
        <v>28.960029607698001</v>
      </c>
      <c r="Z269" s="203">
        <v>25.18504811250925</v>
      </c>
      <c r="AA269" s="200">
        <v>68.964014444029388</v>
      </c>
      <c r="AB269" s="204">
        <v>15.676752583738015</v>
      </c>
      <c r="AC269" s="200">
        <v>15.359232972232597</v>
      </c>
      <c r="AD269" s="201">
        <v>39.171270718232044</v>
      </c>
      <c r="AE269" s="200">
        <v>23.093922651933703</v>
      </c>
      <c r="AF269" s="205">
        <v>37.734806629834253</v>
      </c>
    </row>
    <row r="270" spans="1:32" x14ac:dyDescent="0.25">
      <c r="A270" s="199" t="s">
        <v>566</v>
      </c>
      <c r="B270" s="200">
        <v>73.196452266219708</v>
      </c>
      <c r="C270" s="200">
        <v>14.456316781898176</v>
      </c>
      <c r="D270" s="200">
        <v>12.347230951882114</v>
      </c>
      <c r="E270" s="201">
        <v>48.20343383090448</v>
      </c>
      <c r="F270" s="200">
        <v>27.311345802112218</v>
      </c>
      <c r="G270" s="200">
        <v>24.485220366983302</v>
      </c>
      <c r="H270" s="202">
        <v>73.649873142442914</v>
      </c>
      <c r="I270" s="200">
        <v>13.761024525794369</v>
      </c>
      <c r="J270" s="200">
        <v>12.589102331762717</v>
      </c>
      <c r="K270" s="201">
        <v>39.862584378013501</v>
      </c>
      <c r="L270" s="200">
        <v>22.299903567984572</v>
      </c>
      <c r="M270" s="203">
        <v>37.837512054001927</v>
      </c>
      <c r="N270" s="434"/>
      <c r="O270" s="202">
        <v>72.735146371037587</v>
      </c>
      <c r="P270" s="200">
        <v>15.33575841561291</v>
      </c>
      <c r="Q270" s="200">
        <v>11.929095213349502</v>
      </c>
      <c r="R270" s="201">
        <v>44.832826747720368</v>
      </c>
      <c r="S270" s="200">
        <v>17.553191489361701</v>
      </c>
      <c r="T270" s="200">
        <v>37.61398176291793</v>
      </c>
      <c r="U270" s="202">
        <v>76.790322580645167</v>
      </c>
      <c r="V270" s="200">
        <v>10.685483870967742</v>
      </c>
      <c r="W270" s="200">
        <v>12.524193548387096</v>
      </c>
      <c r="X270" s="201">
        <v>34.683659535730541</v>
      </c>
      <c r="Y270" s="200">
        <v>35.047792444242148</v>
      </c>
      <c r="Z270" s="203">
        <v>30.268548020027307</v>
      </c>
      <c r="AA270" s="200">
        <v>66.833874299203302</v>
      </c>
      <c r="AB270" s="204">
        <v>16.966656830923576</v>
      </c>
      <c r="AC270" s="200">
        <v>16.199468869873119</v>
      </c>
      <c r="AD270" s="201">
        <v>22.062350119904075</v>
      </c>
      <c r="AE270" s="200">
        <v>18.705035971223023</v>
      </c>
      <c r="AF270" s="205">
        <v>59.232613908872899</v>
      </c>
    </row>
    <row r="271" spans="1:32" x14ac:dyDescent="0.25">
      <c r="A271" s="199" t="s">
        <v>567</v>
      </c>
      <c r="B271" s="200">
        <v>85.356980445657115</v>
      </c>
      <c r="C271" s="200">
        <v>8.9245111414279226</v>
      </c>
      <c r="D271" s="200">
        <v>5.7185084129149608</v>
      </c>
      <c r="E271" s="201">
        <v>56.744123931623932</v>
      </c>
      <c r="F271" s="200">
        <v>15.825320512820513</v>
      </c>
      <c r="G271" s="200">
        <v>27.430555555555557</v>
      </c>
      <c r="H271" s="202">
        <v>84.890974036359751</v>
      </c>
      <c r="I271" s="200">
        <v>8.8073785786639665</v>
      </c>
      <c r="J271" s="200">
        <v>6.3016473849762749</v>
      </c>
      <c r="K271" s="201">
        <v>59.597476719735653</v>
      </c>
      <c r="L271" s="200">
        <v>17.332532291979575</v>
      </c>
      <c r="M271" s="203">
        <v>23.069990988284768</v>
      </c>
      <c r="N271" s="434"/>
      <c r="O271" s="202">
        <v>89.059605535578072</v>
      </c>
      <c r="P271" s="200">
        <v>4.5112781954887211</v>
      </c>
      <c r="Q271" s="200">
        <v>6.4291162689332024</v>
      </c>
      <c r="R271" s="201">
        <v>55.18549747048904</v>
      </c>
      <c r="S271" s="200">
        <v>15.851602023608768</v>
      </c>
      <c r="T271" s="200">
        <v>28.962900505902194</v>
      </c>
      <c r="U271" s="202">
        <v>79.447637740081305</v>
      </c>
      <c r="V271" s="200">
        <v>13.416514790410766</v>
      </c>
      <c r="W271" s="200">
        <v>7.1358474695079206</v>
      </c>
      <c r="X271" s="201">
        <v>62.780269058295971</v>
      </c>
      <c r="Y271" s="200">
        <v>19.058295964125559</v>
      </c>
      <c r="Z271" s="203">
        <v>18.161434977578477</v>
      </c>
      <c r="AA271" s="200">
        <v>85.165508786268902</v>
      </c>
      <c r="AB271" s="204">
        <v>11.483449121373109</v>
      </c>
      <c r="AC271" s="200">
        <v>3.3510420923579893</v>
      </c>
      <c r="AD271" s="201">
        <v>77.299412915851278</v>
      </c>
      <c r="AE271" s="200">
        <v>22.700587084148726</v>
      </c>
      <c r="AF271" s="205">
        <v>0</v>
      </c>
    </row>
    <row r="272" spans="1:32" x14ac:dyDescent="0.25">
      <c r="A272" s="199" t="s">
        <v>568</v>
      </c>
      <c r="B272" s="200">
        <v>70.287539936102235</v>
      </c>
      <c r="C272" s="200">
        <v>18.975451243821851</v>
      </c>
      <c r="D272" s="200">
        <v>10.737008820075914</v>
      </c>
      <c r="E272" s="201">
        <v>56.604655740932131</v>
      </c>
      <c r="F272" s="200">
        <v>25.00615187755303</v>
      </c>
      <c r="G272" s="200">
        <v>18.389192381514839</v>
      </c>
      <c r="H272" s="202">
        <v>79.095961166623852</v>
      </c>
      <c r="I272" s="200">
        <v>10.963127222575281</v>
      </c>
      <c r="J272" s="200">
        <v>9.940911610800871</v>
      </c>
      <c r="K272" s="201">
        <v>51.662971175166291</v>
      </c>
      <c r="L272" s="200">
        <v>24.225126197103364</v>
      </c>
      <c r="M272" s="203">
        <v>24.111902627730338</v>
      </c>
      <c r="N272" s="434"/>
      <c r="O272" s="202">
        <v>76.960747756481965</v>
      </c>
      <c r="P272" s="200">
        <v>10.776344246401671</v>
      </c>
      <c r="Q272" s="200">
        <v>12.262907997116365</v>
      </c>
      <c r="R272" s="201">
        <v>48.783266867420849</v>
      </c>
      <c r="S272" s="200">
        <v>22.006999267518516</v>
      </c>
      <c r="T272" s="200">
        <v>29.209733865060635</v>
      </c>
      <c r="U272" s="202">
        <v>82.433831140026612</v>
      </c>
      <c r="V272" s="200">
        <v>10.054709448469614</v>
      </c>
      <c r="W272" s="200">
        <v>7.5114594115037709</v>
      </c>
      <c r="X272" s="201">
        <v>60.951208249961518</v>
      </c>
      <c r="Y272" s="200">
        <v>28.674772972140989</v>
      </c>
      <c r="Z272" s="203">
        <v>10.374018777897492</v>
      </c>
      <c r="AA272" s="200">
        <v>78.436657681940702</v>
      </c>
      <c r="AB272" s="204">
        <v>15.768194070080863</v>
      </c>
      <c r="AC272" s="200">
        <v>5.7951482479784362</v>
      </c>
      <c r="AD272" s="201">
        <v>41.317861583091585</v>
      </c>
      <c r="AE272" s="200">
        <v>23.539162867799419</v>
      </c>
      <c r="AF272" s="205">
        <v>35.142975549108996</v>
      </c>
    </row>
    <row r="273" spans="1:32" x14ac:dyDescent="0.25">
      <c r="A273" s="199" t="s">
        <v>569</v>
      </c>
      <c r="B273" s="200">
        <v>79.546979000051593</v>
      </c>
      <c r="C273" s="200">
        <v>13.526133842422992</v>
      </c>
      <c r="D273" s="200">
        <v>6.9268871575254121</v>
      </c>
      <c r="E273" s="201">
        <v>57.841287807331952</v>
      </c>
      <c r="F273" s="200">
        <v>20.037099918254416</v>
      </c>
      <c r="G273" s="200">
        <v>22.121612274413632</v>
      </c>
      <c r="H273" s="202">
        <v>78.937277862167619</v>
      </c>
      <c r="I273" s="200">
        <v>12.200805226599023</v>
      </c>
      <c r="J273" s="200">
        <v>8.8619169112333527</v>
      </c>
      <c r="K273" s="201">
        <v>63.874794069192752</v>
      </c>
      <c r="L273" s="200">
        <v>18.299835255354203</v>
      </c>
      <c r="M273" s="203">
        <v>17.825370675453048</v>
      </c>
      <c r="N273" s="434"/>
      <c r="O273" s="202">
        <v>80.43935369632581</v>
      </c>
      <c r="P273" s="200">
        <v>9.9601593625498008</v>
      </c>
      <c r="Q273" s="200">
        <v>9.6004869411243909</v>
      </c>
      <c r="R273" s="201">
        <v>69.124316781021051</v>
      </c>
      <c r="S273" s="200">
        <v>12.106058844051635</v>
      </c>
      <c r="T273" s="200">
        <v>18.769624374927318</v>
      </c>
      <c r="U273" s="202">
        <v>80.331114668464068</v>
      </c>
      <c r="V273" s="200">
        <v>13.859634341562051</v>
      </c>
      <c r="W273" s="200">
        <v>5.809250989973882</v>
      </c>
      <c r="X273" s="201">
        <v>57.36413756891573</v>
      </c>
      <c r="Y273" s="200">
        <v>27.435022315568393</v>
      </c>
      <c r="Z273" s="203">
        <v>15.200840115515884</v>
      </c>
      <c r="AA273" s="200">
        <v>67.903103709311125</v>
      </c>
      <c r="AB273" s="204">
        <v>17.44890234670704</v>
      </c>
      <c r="AC273" s="200">
        <v>14.647993943981833</v>
      </c>
      <c r="AD273" s="201">
        <v>56.523310444524753</v>
      </c>
      <c r="AE273" s="200">
        <v>24.972894831947958</v>
      </c>
      <c r="AF273" s="205">
        <v>18.503794723527285</v>
      </c>
    </row>
    <row r="274" spans="1:32" x14ac:dyDescent="0.25">
      <c r="A274" s="199" t="s">
        <v>570</v>
      </c>
      <c r="B274" s="200">
        <v>69.037994578510066</v>
      </c>
      <c r="C274" s="200">
        <v>20.219331938226802</v>
      </c>
      <c r="D274" s="200">
        <v>10.742673483263136</v>
      </c>
      <c r="E274" s="201">
        <v>49.740948982717917</v>
      </c>
      <c r="F274" s="200">
        <v>20.917581229388549</v>
      </c>
      <c r="G274" s="200">
        <v>29.34146978789353</v>
      </c>
      <c r="H274" s="202">
        <v>69.17169687630367</v>
      </c>
      <c r="I274" s="200">
        <v>16.757302672467372</v>
      </c>
      <c r="J274" s="200">
        <v>14.07100045122896</v>
      </c>
      <c r="K274" s="201">
        <v>46.697532886355532</v>
      </c>
      <c r="L274" s="200">
        <v>20.842342047216579</v>
      </c>
      <c r="M274" s="203">
        <v>32.460125066427892</v>
      </c>
      <c r="N274" s="434"/>
      <c r="O274" s="202">
        <v>71.760735971907224</v>
      </c>
      <c r="P274" s="200">
        <v>15.632270100226792</v>
      </c>
      <c r="Q274" s="200">
        <v>12.606993927865975</v>
      </c>
      <c r="R274" s="201">
        <v>48.296485407703074</v>
      </c>
      <c r="S274" s="200">
        <v>20.198538178425171</v>
      </c>
      <c r="T274" s="200">
        <v>31.504976413871756</v>
      </c>
      <c r="U274" s="202">
        <v>66.660106414200527</v>
      </c>
      <c r="V274" s="200">
        <v>17.930896372180385</v>
      </c>
      <c r="W274" s="200">
        <v>15.408997213619083</v>
      </c>
      <c r="X274" s="201">
        <v>47.621999323791272</v>
      </c>
      <c r="Y274" s="200">
        <v>22.652992223599686</v>
      </c>
      <c r="Z274" s="203">
        <v>29.725008452609035</v>
      </c>
      <c r="AA274" s="200">
        <v>62.508109573654295</v>
      </c>
      <c r="AB274" s="204">
        <v>19.422307863623601</v>
      </c>
      <c r="AC274" s="200">
        <v>18.069582562722104</v>
      </c>
      <c r="AD274" s="201">
        <v>40.377961677761363</v>
      </c>
      <c r="AE274" s="200">
        <v>20.251704671913888</v>
      </c>
      <c r="AF274" s="205">
        <v>39.370333650324746</v>
      </c>
    </row>
    <row r="275" spans="1:32" x14ac:dyDescent="0.25">
      <c r="A275" s="199" t="s">
        <v>571</v>
      </c>
      <c r="B275" s="200">
        <v>73.808660721717857</v>
      </c>
      <c r="C275" s="200">
        <v>16.729096684630402</v>
      </c>
      <c r="D275" s="200">
        <v>9.4622425936517409</v>
      </c>
      <c r="E275" s="201">
        <v>50.459598169134011</v>
      </c>
      <c r="F275" s="200">
        <v>23.863353043838234</v>
      </c>
      <c r="G275" s="200">
        <v>25.677048787027761</v>
      </c>
      <c r="H275" s="202">
        <v>71.992971930576388</v>
      </c>
      <c r="I275" s="200">
        <v>15.967259481465609</v>
      </c>
      <c r="J275" s="200">
        <v>12.039768587958003</v>
      </c>
      <c r="K275" s="201">
        <v>46.815144766146993</v>
      </c>
      <c r="L275" s="200">
        <v>22.703082874223419</v>
      </c>
      <c r="M275" s="203">
        <v>30.481772359629588</v>
      </c>
      <c r="N275" s="434"/>
      <c r="O275" s="202">
        <v>71.872717960579578</v>
      </c>
      <c r="P275" s="200">
        <v>16.188808300427908</v>
      </c>
      <c r="Q275" s="200">
        <v>11.938473738992515</v>
      </c>
      <c r="R275" s="201">
        <v>51.663405088062618</v>
      </c>
      <c r="S275" s="200">
        <v>20.873799663223046</v>
      </c>
      <c r="T275" s="200">
        <v>27.462795248714333</v>
      </c>
      <c r="U275" s="202">
        <v>71.267427715916526</v>
      </c>
      <c r="V275" s="200">
        <v>16.127070272293441</v>
      </c>
      <c r="W275" s="200">
        <v>12.605502011790026</v>
      </c>
      <c r="X275" s="201">
        <v>44.81853539812451</v>
      </c>
      <c r="Y275" s="200">
        <v>28.716982032498983</v>
      </c>
      <c r="Z275" s="203">
        <v>26.464482569376507</v>
      </c>
      <c r="AA275" s="200">
        <v>74.851863460648673</v>
      </c>
      <c r="AB275" s="204">
        <v>14.456932193017808</v>
      </c>
      <c r="AC275" s="200">
        <v>10.691204346333528</v>
      </c>
      <c r="AD275" s="201">
        <v>22.991616258091902</v>
      </c>
      <c r="AE275" s="200">
        <v>19.99363260108246</v>
      </c>
      <c r="AF275" s="205">
        <v>57.014751140825638</v>
      </c>
    </row>
    <row r="276" spans="1:32" x14ac:dyDescent="0.25">
      <c r="A276" s="199" t="s">
        <v>572</v>
      </c>
      <c r="B276" s="200">
        <v>86.630130002549066</v>
      </c>
      <c r="C276" s="200">
        <v>6.5511088452714761</v>
      </c>
      <c r="D276" s="200">
        <v>6.8187611521794551</v>
      </c>
      <c r="E276" s="201">
        <v>59.53233118587449</v>
      </c>
      <c r="F276" s="200">
        <v>13.648293963254593</v>
      </c>
      <c r="G276" s="200">
        <v>26.819374850870915</v>
      </c>
      <c r="H276" s="202">
        <v>79.003579602136014</v>
      </c>
      <c r="I276" s="200">
        <v>11.032216419224223</v>
      </c>
      <c r="J276" s="200">
        <v>9.9642039786397518</v>
      </c>
      <c r="K276" s="201">
        <v>45.414947271893624</v>
      </c>
      <c r="L276" s="200">
        <v>24.140302613480056</v>
      </c>
      <c r="M276" s="203">
        <v>30.444750114626316</v>
      </c>
      <c r="N276" s="434"/>
      <c r="O276" s="202">
        <v>78.940941385435167</v>
      </c>
      <c r="P276" s="200">
        <v>11.400976909413854</v>
      </c>
      <c r="Q276" s="200">
        <v>9.6580817051509769</v>
      </c>
      <c r="R276" s="201">
        <v>41.037735849056602</v>
      </c>
      <c r="S276" s="200">
        <v>24.874213836477988</v>
      </c>
      <c r="T276" s="200">
        <v>34.088050314465406</v>
      </c>
      <c r="U276" s="202">
        <v>78.366013071895424</v>
      </c>
      <c r="V276" s="200">
        <v>11.748366013071895</v>
      </c>
      <c r="W276" s="200">
        <v>9.8856209150326801</v>
      </c>
      <c r="X276" s="201">
        <v>48.917748917748916</v>
      </c>
      <c r="Y276" s="200">
        <v>31.024531024531026</v>
      </c>
      <c r="Z276" s="203">
        <v>20.057720057720058</v>
      </c>
      <c r="AA276" s="200">
        <v>81.338212232096183</v>
      </c>
      <c r="AB276" s="204">
        <v>7.0047046523784626</v>
      </c>
      <c r="AC276" s="200">
        <v>11.657083115525353</v>
      </c>
      <c r="AD276" s="201">
        <v>68.916155419222903</v>
      </c>
      <c r="AE276" s="200">
        <v>9.6114519427402865</v>
      </c>
      <c r="AF276" s="205">
        <v>21.472392638036812</v>
      </c>
    </row>
    <row r="277" spans="1:32" x14ac:dyDescent="0.25">
      <c r="A277" s="199" t="s">
        <v>573</v>
      </c>
      <c r="B277" s="200">
        <v>81.546975897361733</v>
      </c>
      <c r="C277" s="200">
        <v>11.075047431065434</v>
      </c>
      <c r="D277" s="200">
        <v>7.3779766715728385</v>
      </c>
      <c r="E277" s="201">
        <v>59.560724986044811</v>
      </c>
      <c r="F277" s="200">
        <v>17.582392545083788</v>
      </c>
      <c r="G277" s="200">
        <v>22.856882468871394</v>
      </c>
      <c r="H277" s="202">
        <v>80.547671025421891</v>
      </c>
      <c r="I277" s="200">
        <v>11.465755062458763</v>
      </c>
      <c r="J277" s="200">
        <v>7.9865739121193462</v>
      </c>
      <c r="K277" s="201">
        <v>55.529897622218897</v>
      </c>
      <c r="L277" s="200">
        <v>21.641985135912613</v>
      </c>
      <c r="M277" s="203">
        <v>22.828117241868494</v>
      </c>
      <c r="N277" s="434"/>
      <c r="O277" s="202">
        <v>83.496909016774907</v>
      </c>
      <c r="P277" s="200">
        <v>9.2939543580598265</v>
      </c>
      <c r="Q277" s="200">
        <v>7.2091366251652573</v>
      </c>
      <c r="R277" s="201">
        <v>57.695965638901669</v>
      </c>
      <c r="S277" s="200">
        <v>19.050467863169199</v>
      </c>
      <c r="T277" s="200">
        <v>23.253566497929128</v>
      </c>
      <c r="U277" s="202">
        <v>77.958641308861388</v>
      </c>
      <c r="V277" s="200">
        <v>13.76339174487169</v>
      </c>
      <c r="W277" s="200">
        <v>8.2779669462669201</v>
      </c>
      <c r="X277" s="201">
        <v>54.154346540508577</v>
      </c>
      <c r="Y277" s="200">
        <v>28.438793613246599</v>
      </c>
      <c r="Z277" s="203">
        <v>17.406859846244828</v>
      </c>
      <c r="AA277" s="200">
        <v>75.235387340356112</v>
      </c>
      <c r="AB277" s="204">
        <v>14.50079239302694</v>
      </c>
      <c r="AC277" s="200">
        <v>10.263820266616948</v>
      </c>
      <c r="AD277" s="201">
        <v>52.134605725765951</v>
      </c>
      <c r="AE277" s="200">
        <v>19.455406471981057</v>
      </c>
      <c r="AF277" s="205">
        <v>28.409987802252996</v>
      </c>
    </row>
    <row r="278" spans="1:32" x14ac:dyDescent="0.25">
      <c r="A278" s="199" t="s">
        <v>574</v>
      </c>
      <c r="B278" s="200">
        <v>62.089752176825186</v>
      </c>
      <c r="C278" s="200">
        <v>23.342263898191561</v>
      </c>
      <c r="D278" s="200">
        <v>14.567983924983254</v>
      </c>
      <c r="E278" s="201">
        <v>44.881889763779526</v>
      </c>
      <c r="F278" s="200">
        <v>25.00322705563444</v>
      </c>
      <c r="G278" s="200">
        <v>30.114883180586034</v>
      </c>
      <c r="H278" s="202">
        <v>68.719554627696596</v>
      </c>
      <c r="I278" s="200">
        <v>17.927008428052268</v>
      </c>
      <c r="J278" s="200">
        <v>13.35343694425114</v>
      </c>
      <c r="K278" s="201">
        <v>48.788401095001518</v>
      </c>
      <c r="L278" s="200">
        <v>30.720876001216666</v>
      </c>
      <c r="M278" s="203">
        <v>20.490722903781812</v>
      </c>
      <c r="N278" s="434"/>
      <c r="O278" s="202">
        <v>70.593355578122726</v>
      </c>
      <c r="P278" s="200">
        <v>16.016248367909476</v>
      </c>
      <c r="Q278" s="200">
        <v>13.390396053967793</v>
      </c>
      <c r="R278" s="201">
        <v>34.766355140186917</v>
      </c>
      <c r="S278" s="200">
        <v>38.710280373831772</v>
      </c>
      <c r="T278" s="200">
        <v>26.523364485981311</v>
      </c>
      <c r="U278" s="202">
        <v>67.348927875243675</v>
      </c>
      <c r="V278" s="200">
        <v>21.284113060428851</v>
      </c>
      <c r="W278" s="200">
        <v>11.366959064327485</v>
      </c>
      <c r="X278" s="201">
        <v>68.961400716275364</v>
      </c>
      <c r="Y278" s="200">
        <v>25.70632709908476</v>
      </c>
      <c r="Z278" s="203">
        <v>5.3322721846398728</v>
      </c>
      <c r="AA278" s="200">
        <v>64.953512396694208</v>
      </c>
      <c r="AB278" s="204">
        <v>17.613636363636363</v>
      </c>
      <c r="AC278" s="200">
        <v>17.432851239669422</v>
      </c>
      <c r="AD278" s="201">
        <v>60.95</v>
      </c>
      <c r="AE278" s="200">
        <v>15.65</v>
      </c>
      <c r="AF278" s="205">
        <v>23.400000000000002</v>
      </c>
    </row>
    <row r="279" spans="1:32" x14ac:dyDescent="0.25">
      <c r="A279" s="199" t="s">
        <v>575</v>
      </c>
      <c r="B279" s="200">
        <v>61.786693246947422</v>
      </c>
      <c r="C279" s="200">
        <v>28.856217293795165</v>
      </c>
      <c r="D279" s="200">
        <v>9.3570894592574128</v>
      </c>
      <c r="E279" s="201">
        <v>42.36800460365415</v>
      </c>
      <c r="F279" s="200">
        <v>27.2191051647245</v>
      </c>
      <c r="G279" s="200">
        <v>30.412890231621347</v>
      </c>
      <c r="H279" s="202">
        <v>80.44343820751034</v>
      </c>
      <c r="I279" s="200">
        <v>11.171832305410257</v>
      </c>
      <c r="J279" s="200">
        <v>8.3847294870793974</v>
      </c>
      <c r="K279" s="201">
        <v>36.449037106622825</v>
      </c>
      <c r="L279" s="200">
        <v>41.991545326444339</v>
      </c>
      <c r="M279" s="203">
        <v>21.559417566932833</v>
      </c>
      <c r="N279" s="434"/>
      <c r="O279" s="202">
        <v>79.12408759124088</v>
      </c>
      <c r="P279" s="200">
        <v>12.014598540145984</v>
      </c>
      <c r="Q279" s="200">
        <v>8.8613138686131379</v>
      </c>
      <c r="R279" s="201">
        <v>41.251325556733825</v>
      </c>
      <c r="S279" s="200">
        <v>45.91728525980912</v>
      </c>
      <c r="T279" s="200">
        <v>12.83138918345705</v>
      </c>
      <c r="U279" s="202">
        <v>82.414016872160929</v>
      </c>
      <c r="V279" s="200">
        <v>8.9768548561540129</v>
      </c>
      <c r="W279" s="200">
        <v>8.6091282716850532</v>
      </c>
      <c r="X279" s="201">
        <v>11.733333333333333</v>
      </c>
      <c r="Y279" s="200">
        <v>44.800000000000004</v>
      </c>
      <c r="Z279" s="203">
        <v>43.466666666666661</v>
      </c>
      <c r="AA279" s="200">
        <v>80.449438202247194</v>
      </c>
      <c r="AB279" s="204">
        <v>14.45692883895131</v>
      </c>
      <c r="AC279" s="200">
        <v>5.0936329588014981</v>
      </c>
      <c r="AD279" s="201">
        <v>68.735632183908052</v>
      </c>
      <c r="AE279" s="200">
        <v>28.735632183908045</v>
      </c>
      <c r="AF279" s="205">
        <v>2.5287356321839081</v>
      </c>
    </row>
    <row r="280" spans="1:32" x14ac:dyDescent="0.25">
      <c r="A280" s="199" t="s">
        <v>576</v>
      </c>
      <c r="B280" s="200">
        <v>71.393252443802055</v>
      </c>
      <c r="C280" s="200">
        <v>19.516184245559316</v>
      </c>
      <c r="D280" s="200">
        <v>9.0905633106386219</v>
      </c>
      <c r="E280" s="201">
        <v>49.815781014317153</v>
      </c>
      <c r="F280" s="200">
        <v>26.710516554981329</v>
      </c>
      <c r="G280" s="200">
        <v>23.473702430701515</v>
      </c>
      <c r="H280" s="202">
        <v>71.453723382089436</v>
      </c>
      <c r="I280" s="200">
        <v>15.58215610284619</v>
      </c>
      <c r="J280" s="200">
        <v>12.964120515064383</v>
      </c>
      <c r="K280" s="201">
        <v>46.668302859246538</v>
      </c>
      <c r="L280" s="200">
        <v>26.498138830940405</v>
      </c>
      <c r="M280" s="203">
        <v>26.833558309813064</v>
      </c>
      <c r="N280" s="434"/>
      <c r="O280" s="202">
        <v>71.20281106405983</v>
      </c>
      <c r="P280" s="200">
        <v>16.478962068654834</v>
      </c>
      <c r="Q280" s="200">
        <v>12.318226867285341</v>
      </c>
      <c r="R280" s="201">
        <v>44.086886564762672</v>
      </c>
      <c r="S280" s="200">
        <v>21.977620127258099</v>
      </c>
      <c r="T280" s="200">
        <v>33.935493307979229</v>
      </c>
      <c r="U280" s="202">
        <v>73.231004394624549</v>
      </c>
      <c r="V280" s="200">
        <v>14.120119737596331</v>
      </c>
      <c r="W280" s="200">
        <v>12.648875867779122</v>
      </c>
      <c r="X280" s="201">
        <v>52.113118617439127</v>
      </c>
      <c r="Y280" s="200">
        <v>34.721131186174389</v>
      </c>
      <c r="Z280" s="203">
        <v>13.165750196386488</v>
      </c>
      <c r="AA280" s="200">
        <v>66.84633153668463</v>
      </c>
      <c r="AB280" s="204">
        <v>15.157848421515785</v>
      </c>
      <c r="AC280" s="200">
        <v>17.995820041799583</v>
      </c>
      <c r="AD280" s="201">
        <v>46.813336357450666</v>
      </c>
      <c r="AE280" s="200">
        <v>28.645951462916763</v>
      </c>
      <c r="AF280" s="205">
        <v>24.540712179632571</v>
      </c>
    </row>
    <row r="281" spans="1:32" x14ac:dyDescent="0.25">
      <c r="A281" s="199" t="s">
        <v>577</v>
      </c>
      <c r="B281" s="200">
        <v>68.237731023841988</v>
      </c>
      <c r="C281" s="200">
        <v>21.403058456050619</v>
      </c>
      <c r="D281" s="200">
        <v>10.359210520107389</v>
      </c>
      <c r="E281" s="201">
        <v>50.0502315017035</v>
      </c>
      <c r="F281" s="200">
        <v>24.83052328120905</v>
      </c>
      <c r="G281" s="200">
        <v>25.11924521708745</v>
      </c>
      <c r="H281" s="202">
        <v>71.031794755549683</v>
      </c>
      <c r="I281" s="200">
        <v>16.253451331891409</v>
      </c>
      <c r="J281" s="200">
        <v>12.714753912558912</v>
      </c>
      <c r="K281" s="201">
        <v>46.440108761432306</v>
      </c>
      <c r="L281" s="200">
        <v>24.619633313729</v>
      </c>
      <c r="M281" s="203">
        <v>28.94025792483869</v>
      </c>
      <c r="N281" s="434"/>
      <c r="O281" s="202">
        <v>70.293486801588472</v>
      </c>
      <c r="P281" s="200">
        <v>16.236806897576926</v>
      </c>
      <c r="Q281" s="200">
        <v>13.469706300834588</v>
      </c>
      <c r="R281" s="201">
        <v>52.168882878822032</v>
      </c>
      <c r="S281" s="200">
        <v>24.028247314251374</v>
      </c>
      <c r="T281" s="200">
        <v>23.802869806926601</v>
      </c>
      <c r="U281" s="202">
        <v>72.103117457355538</v>
      </c>
      <c r="V281" s="200">
        <v>16.028436403464291</v>
      </c>
      <c r="W281" s="200">
        <v>11.868446139180172</v>
      </c>
      <c r="X281" s="201">
        <v>43.235394074211385</v>
      </c>
      <c r="Y281" s="200">
        <v>26.690765285630423</v>
      </c>
      <c r="Z281" s="203">
        <v>30.073840640158185</v>
      </c>
      <c r="AA281" s="200">
        <v>72.126389930544235</v>
      </c>
      <c r="AB281" s="204">
        <v>17.076988293605506</v>
      </c>
      <c r="AC281" s="200">
        <v>10.796621775850262</v>
      </c>
      <c r="AD281" s="201">
        <v>31.351233829764102</v>
      </c>
      <c r="AE281" s="200">
        <v>23.11664311338189</v>
      </c>
      <c r="AF281" s="205">
        <v>45.532123056854005</v>
      </c>
    </row>
    <row r="282" spans="1:32" x14ac:dyDescent="0.25">
      <c r="A282" s="199" t="s">
        <v>578</v>
      </c>
      <c r="B282" s="200">
        <v>56.219646212201781</v>
      </c>
      <c r="C282" s="200">
        <v>25.545038817398702</v>
      </c>
      <c r="D282" s="200">
        <v>18.235314970399518</v>
      </c>
      <c r="E282" s="201">
        <v>41.397445529676936</v>
      </c>
      <c r="F282" s="200">
        <v>22.754105398733497</v>
      </c>
      <c r="G282" s="200">
        <v>35.848449071589563</v>
      </c>
      <c r="H282" s="202">
        <v>68.904623248214165</v>
      </c>
      <c r="I282" s="200">
        <v>16.649559042252342</v>
      </c>
      <c r="J282" s="200">
        <v>14.445817709533484</v>
      </c>
      <c r="K282" s="201">
        <v>36.66934404283802</v>
      </c>
      <c r="L282" s="200">
        <v>21.574297188755022</v>
      </c>
      <c r="M282" s="203">
        <v>41.756358768406962</v>
      </c>
      <c r="N282" s="434"/>
      <c r="O282" s="202">
        <v>69.730935818348854</v>
      </c>
      <c r="P282" s="200">
        <v>15.177844861530385</v>
      </c>
      <c r="Q282" s="200">
        <v>15.09121932012075</v>
      </c>
      <c r="R282" s="201">
        <v>36.718819057721205</v>
      </c>
      <c r="S282" s="200">
        <v>20.763723150357997</v>
      </c>
      <c r="T282" s="200">
        <v>42.517457791920798</v>
      </c>
      <c r="U282" s="202">
        <v>67.295597484276726</v>
      </c>
      <c r="V282" s="200">
        <v>18.550963362284119</v>
      </c>
      <c r="W282" s="200">
        <v>14.153439153439153</v>
      </c>
      <c r="X282" s="201">
        <v>39.7168698387731</v>
      </c>
      <c r="Y282" s="200">
        <v>27.07432166732206</v>
      </c>
      <c r="Z282" s="203">
        <v>33.208808493904833</v>
      </c>
      <c r="AA282" s="200">
        <v>70.81046733290971</v>
      </c>
      <c r="AB282" s="204">
        <v>15.487262434290336</v>
      </c>
      <c r="AC282" s="200">
        <v>13.702270232799954</v>
      </c>
      <c r="AD282" s="201">
        <v>29.613356766256587</v>
      </c>
      <c r="AE282" s="200">
        <v>13.312829525483306</v>
      </c>
      <c r="AF282" s="205">
        <v>57.073813708260104</v>
      </c>
    </row>
    <row r="283" spans="1:32" x14ac:dyDescent="0.25">
      <c r="A283" s="199" t="s">
        <v>579</v>
      </c>
      <c r="B283" s="200">
        <v>69.785319208774723</v>
      </c>
      <c r="C283" s="200">
        <v>22.227430392800223</v>
      </c>
      <c r="D283" s="200">
        <v>7.9872503984250498</v>
      </c>
      <c r="E283" s="201">
        <v>54.612136030228939</v>
      </c>
      <c r="F283" s="200">
        <v>28.411869304289844</v>
      </c>
      <c r="G283" s="200">
        <v>16.975994665481217</v>
      </c>
      <c r="H283" s="202">
        <v>77.152381317291855</v>
      </c>
      <c r="I283" s="200">
        <v>13.431549101498142</v>
      </c>
      <c r="J283" s="200">
        <v>9.4160695812100084</v>
      </c>
      <c r="K283" s="201">
        <v>53.470437017994854</v>
      </c>
      <c r="L283" s="200">
        <v>19.677494741762093</v>
      </c>
      <c r="M283" s="203">
        <v>26.85206824024305</v>
      </c>
      <c r="N283" s="434"/>
      <c r="O283" s="202">
        <v>78.251696936341958</v>
      </c>
      <c r="P283" s="200">
        <v>9.8238855255916349</v>
      </c>
      <c r="Q283" s="200">
        <v>11.924417538066409</v>
      </c>
      <c r="R283" s="201">
        <v>58.166332665330664</v>
      </c>
      <c r="S283" s="200">
        <v>16.958917835671343</v>
      </c>
      <c r="T283" s="200">
        <v>24.874749498997996</v>
      </c>
      <c r="U283" s="202">
        <v>77.867764813543815</v>
      </c>
      <c r="V283" s="200">
        <v>14.706016929764356</v>
      </c>
      <c r="W283" s="200">
        <v>7.4262182566918327</v>
      </c>
      <c r="X283" s="201">
        <v>49.421255699754475</v>
      </c>
      <c r="Y283" s="200">
        <v>31.567870922483337</v>
      </c>
      <c r="Z283" s="203">
        <v>19.010873377762188</v>
      </c>
      <c r="AA283" s="200">
        <v>72.514345942147798</v>
      </c>
      <c r="AB283" s="204">
        <v>19.381660615997191</v>
      </c>
      <c r="AC283" s="200">
        <v>8.1039934418550175</v>
      </c>
      <c r="AD283" s="201">
        <v>40.509490509490512</v>
      </c>
      <c r="AE283" s="200">
        <v>13.586413586413586</v>
      </c>
      <c r="AF283" s="205">
        <v>45.904095904095904</v>
      </c>
    </row>
    <row r="284" spans="1:32" x14ac:dyDescent="0.25">
      <c r="A284" s="199" t="s">
        <v>580</v>
      </c>
      <c r="B284" s="200">
        <v>66.962684894666069</v>
      </c>
      <c r="C284" s="200">
        <v>21.721621470192741</v>
      </c>
      <c r="D284" s="200">
        <v>11.315693635141193</v>
      </c>
      <c r="E284" s="201">
        <v>52.35882593739003</v>
      </c>
      <c r="F284" s="200">
        <v>19.574413076420356</v>
      </c>
      <c r="G284" s="200">
        <v>28.06676098618961</v>
      </c>
      <c r="H284" s="202">
        <v>66.283754677298106</v>
      </c>
      <c r="I284" s="200">
        <v>18.695255551519963</v>
      </c>
      <c r="J284" s="200">
        <v>15.020989771181931</v>
      </c>
      <c r="K284" s="201">
        <v>50.487103842760796</v>
      </c>
      <c r="L284" s="200">
        <v>25.614927100427813</v>
      </c>
      <c r="M284" s="203">
        <v>23.897969056811391</v>
      </c>
      <c r="N284" s="434"/>
      <c r="O284" s="202">
        <v>68.680818111419853</v>
      </c>
      <c r="P284" s="200">
        <v>18.336142364748934</v>
      </c>
      <c r="Q284" s="200">
        <v>12.983039523831216</v>
      </c>
      <c r="R284" s="201">
        <v>49.551626091491826</v>
      </c>
      <c r="S284" s="200">
        <v>25.489173410501877</v>
      </c>
      <c r="T284" s="200">
        <v>24.959200498006293</v>
      </c>
      <c r="U284" s="202">
        <v>68.145870537212829</v>
      </c>
      <c r="V284" s="200">
        <v>17.659143091155659</v>
      </c>
      <c r="W284" s="200">
        <v>14.19498637163151</v>
      </c>
      <c r="X284" s="201">
        <v>52.239881912739008</v>
      </c>
      <c r="Y284" s="200">
        <v>25.282345267927635</v>
      </c>
      <c r="Z284" s="203">
        <v>22.477772819333357</v>
      </c>
      <c r="AA284" s="200">
        <v>51.42707686271946</v>
      </c>
      <c r="AB284" s="204">
        <v>22.764573184686306</v>
      </c>
      <c r="AC284" s="200">
        <v>25.808349952594238</v>
      </c>
      <c r="AD284" s="201">
        <v>50.759643916913944</v>
      </c>
      <c r="AE284" s="200">
        <v>26.629080118694361</v>
      </c>
      <c r="AF284" s="205">
        <v>22.611275964391691</v>
      </c>
    </row>
    <row r="285" spans="1:32" x14ac:dyDescent="0.25">
      <c r="A285" s="199" t="s">
        <v>581</v>
      </c>
      <c r="B285" s="200">
        <v>71.645829280800726</v>
      </c>
      <c r="C285" s="200">
        <v>22.223204654370544</v>
      </c>
      <c r="D285" s="200">
        <v>6.1309660648287325</v>
      </c>
      <c r="E285" s="201">
        <v>53.43751560237655</v>
      </c>
      <c r="F285" s="200">
        <v>23.570822307653902</v>
      </c>
      <c r="G285" s="200">
        <v>22.991662089969545</v>
      </c>
      <c r="H285" s="202">
        <v>81.514237396590346</v>
      </c>
      <c r="I285" s="200">
        <v>10.754604872251932</v>
      </c>
      <c r="J285" s="200">
        <v>7.7311577311577313</v>
      </c>
      <c r="K285" s="201">
        <v>46.945686035486929</v>
      </c>
      <c r="L285" s="200">
        <v>28.917784098604905</v>
      </c>
      <c r="M285" s="203">
        <v>24.13652986590817</v>
      </c>
      <c r="N285" s="434"/>
      <c r="O285" s="202">
        <v>79.962080815262468</v>
      </c>
      <c r="P285" s="200">
        <v>10.818817395425999</v>
      </c>
      <c r="Q285" s="200">
        <v>9.2191017893115301</v>
      </c>
      <c r="R285" s="201">
        <v>51.950718685831617</v>
      </c>
      <c r="S285" s="200">
        <v>27.789185489390828</v>
      </c>
      <c r="T285" s="200">
        <v>20.260095824777551</v>
      </c>
      <c r="U285" s="202">
        <v>82.517579892780063</v>
      </c>
      <c r="V285" s="200">
        <v>12.713221471837361</v>
      </c>
      <c r="W285" s="200">
        <v>4.7691986353825797</v>
      </c>
      <c r="X285" s="201">
        <v>50.246845858475041</v>
      </c>
      <c r="Y285" s="200">
        <v>19.363686231486561</v>
      </c>
      <c r="Z285" s="203">
        <v>30.389467910038398</v>
      </c>
      <c r="AA285" s="200">
        <v>87.616478666012753</v>
      </c>
      <c r="AB285" s="204">
        <v>3.4575772437469352</v>
      </c>
      <c r="AC285" s="200">
        <v>8.9259440902403142</v>
      </c>
      <c r="AD285" s="201">
        <v>23.194562446898896</v>
      </c>
      <c r="AE285" s="200">
        <v>47.91843670348343</v>
      </c>
      <c r="AF285" s="205">
        <v>28.887000849617671</v>
      </c>
    </row>
    <row r="286" spans="1:32" x14ac:dyDescent="0.25">
      <c r="A286" s="199" t="s">
        <v>582</v>
      </c>
      <c r="B286" s="200">
        <v>71.903323262839876</v>
      </c>
      <c r="C286" s="200">
        <v>17.441603419055337</v>
      </c>
      <c r="D286" s="200">
        <v>10.655073318104783</v>
      </c>
      <c r="E286" s="201">
        <v>41.273651510872632</v>
      </c>
      <c r="F286" s="200">
        <v>35.060717311493924</v>
      </c>
      <c r="G286" s="200">
        <v>23.665631177633436</v>
      </c>
      <c r="H286" s="202">
        <v>73.491492391874672</v>
      </c>
      <c r="I286" s="200">
        <v>14.320515703470505</v>
      </c>
      <c r="J286" s="200">
        <v>12.187991904654824</v>
      </c>
      <c r="K286" s="201">
        <v>51.795376291195282</v>
      </c>
      <c r="L286" s="200">
        <v>19.515494343334975</v>
      </c>
      <c r="M286" s="203">
        <v>28.68912936546975</v>
      </c>
      <c r="N286" s="434"/>
      <c r="O286" s="202">
        <v>72.653508771929822</v>
      </c>
      <c r="P286" s="200">
        <v>13.961988304093568</v>
      </c>
      <c r="Q286" s="200">
        <v>13.384502923976607</v>
      </c>
      <c r="R286" s="201">
        <v>59.693598395039217</v>
      </c>
      <c r="S286" s="200">
        <v>15.593653109611527</v>
      </c>
      <c r="T286" s="200">
        <v>24.712748495349263</v>
      </c>
      <c r="U286" s="202">
        <v>78.049037146164366</v>
      </c>
      <c r="V286" s="200">
        <v>11.333263180048405</v>
      </c>
      <c r="W286" s="200">
        <v>10.617699673787225</v>
      </c>
      <c r="X286" s="201">
        <v>35.728813559322035</v>
      </c>
      <c r="Y286" s="200">
        <v>24</v>
      </c>
      <c r="Z286" s="203">
        <v>40.271186440677965</v>
      </c>
      <c r="AA286" s="200">
        <v>64.418405258645322</v>
      </c>
      <c r="AB286" s="204">
        <v>23.806801943412403</v>
      </c>
      <c r="AC286" s="200">
        <v>11.77479279794227</v>
      </c>
      <c r="AD286" s="201">
        <v>35.068259385665527</v>
      </c>
      <c r="AE286" s="200">
        <v>32.25255972696246</v>
      </c>
      <c r="AF286" s="205">
        <v>32.679180887372013</v>
      </c>
    </row>
    <row r="287" spans="1:32" x14ac:dyDescent="0.25">
      <c r="A287" s="199" t="s">
        <v>583</v>
      </c>
      <c r="B287" s="200">
        <v>70.340946706388621</v>
      </c>
      <c r="C287" s="200">
        <v>15.127441244620988</v>
      </c>
      <c r="D287" s="200">
        <v>14.5316120489904</v>
      </c>
      <c r="E287" s="201">
        <v>64.582164890633763</v>
      </c>
      <c r="F287" s="200">
        <v>17.947279865395402</v>
      </c>
      <c r="G287" s="200">
        <v>17.470555243970836</v>
      </c>
      <c r="H287" s="202">
        <v>69.255235656160934</v>
      </c>
      <c r="I287" s="200">
        <v>16.661159073072</v>
      </c>
      <c r="J287" s="200">
        <v>14.08360527076707</v>
      </c>
      <c r="K287" s="201">
        <v>48.089481728497987</v>
      </c>
      <c r="L287" s="200">
        <v>16.076142837293318</v>
      </c>
      <c r="M287" s="203">
        <v>35.834375434208695</v>
      </c>
      <c r="N287" s="434"/>
      <c r="O287" s="202">
        <v>61.276394392855025</v>
      </c>
      <c r="P287" s="200">
        <v>20.210563671851894</v>
      </c>
      <c r="Q287" s="200">
        <v>18.513041935293074</v>
      </c>
      <c r="R287" s="201">
        <v>42.059639389736475</v>
      </c>
      <c r="S287" s="200">
        <v>24.965325936199722</v>
      </c>
      <c r="T287" s="200">
        <v>32.975034674063799</v>
      </c>
      <c r="U287" s="202">
        <v>70.359699668238179</v>
      </c>
      <c r="V287" s="200">
        <v>15.933298411035446</v>
      </c>
      <c r="W287" s="200">
        <v>13.707001920726384</v>
      </c>
      <c r="X287" s="201">
        <v>44.743276283618584</v>
      </c>
      <c r="Y287" s="200">
        <v>10.024449877750612</v>
      </c>
      <c r="Z287" s="203">
        <v>45.232273838630803</v>
      </c>
      <c r="AA287" s="200">
        <v>81.994653028013488</v>
      </c>
      <c r="AB287" s="204">
        <v>11.62385214460072</v>
      </c>
      <c r="AC287" s="200">
        <v>6.3814948273857963</v>
      </c>
      <c r="AD287" s="201">
        <v>61.861215707369553</v>
      </c>
      <c r="AE287" s="200">
        <v>10.274341043571813</v>
      </c>
      <c r="AF287" s="205">
        <v>27.864443249058635</v>
      </c>
    </row>
    <row r="288" spans="1:32" x14ac:dyDescent="0.25">
      <c r="A288" s="199" t="s">
        <v>584</v>
      </c>
      <c r="B288" s="200">
        <v>78.346456692913392</v>
      </c>
      <c r="C288" s="200">
        <v>16.545154077962476</v>
      </c>
      <c r="D288" s="200">
        <v>5.1083892291241373</v>
      </c>
      <c r="E288" s="201">
        <v>64.684784108152854</v>
      </c>
      <c r="F288" s="200">
        <v>18.188715684922059</v>
      </c>
      <c r="G288" s="200">
        <v>17.126500206925094</v>
      </c>
      <c r="H288" s="202">
        <v>73.963427930594065</v>
      </c>
      <c r="I288" s="200">
        <v>16.952742905205444</v>
      </c>
      <c r="J288" s="200">
        <v>9.0838291642004929</v>
      </c>
      <c r="K288" s="201">
        <v>39.223685744259242</v>
      </c>
      <c r="L288" s="200">
        <v>29.478960251777597</v>
      </c>
      <c r="M288" s="203">
        <v>31.297354003963168</v>
      </c>
      <c r="N288" s="434"/>
      <c r="O288" s="202">
        <v>71.994310099573255</v>
      </c>
      <c r="P288" s="200">
        <v>18.167852062588903</v>
      </c>
      <c r="Q288" s="200">
        <v>9.8378378378378368</v>
      </c>
      <c r="R288" s="201">
        <v>41.832815072251691</v>
      </c>
      <c r="S288" s="200">
        <v>26.906895920980428</v>
      </c>
      <c r="T288" s="200">
        <v>31.260289006767877</v>
      </c>
      <c r="U288" s="202">
        <v>82.243349659079996</v>
      </c>
      <c r="V288" s="200">
        <v>8.7582829155862871</v>
      </c>
      <c r="W288" s="200">
        <v>8.9983674253337167</v>
      </c>
      <c r="X288" s="201">
        <v>46.086480569239193</v>
      </c>
      <c r="Y288" s="200">
        <v>37.49315818281336</v>
      </c>
      <c r="Z288" s="203">
        <v>16.420361247947454</v>
      </c>
      <c r="AA288" s="200">
        <v>61.415025528811086</v>
      </c>
      <c r="AB288" s="204">
        <v>32.506686117189396</v>
      </c>
      <c r="AC288" s="200">
        <v>6.0782883539995138</v>
      </c>
      <c r="AD288" s="201">
        <v>18.365758754863815</v>
      </c>
      <c r="AE288" s="200">
        <v>29.027237354085607</v>
      </c>
      <c r="AF288" s="205">
        <v>52.607003891050589</v>
      </c>
    </row>
    <row r="289" spans="1:32" x14ac:dyDescent="0.25">
      <c r="A289" s="199" t="s">
        <v>585</v>
      </c>
      <c r="B289" s="200">
        <v>79.341722706793618</v>
      </c>
      <c r="C289" s="200">
        <v>14.313721138409866</v>
      </c>
      <c r="D289" s="200">
        <v>6.3445561547965168</v>
      </c>
      <c r="E289" s="201">
        <v>58.632552917956794</v>
      </c>
      <c r="F289" s="200">
        <v>22.531551596139572</v>
      </c>
      <c r="G289" s="200">
        <v>18.835895485903634</v>
      </c>
      <c r="H289" s="202">
        <v>75.166460510040267</v>
      </c>
      <c r="I289" s="200">
        <v>14.734715898623577</v>
      </c>
      <c r="J289" s="200">
        <v>10.098823591336158</v>
      </c>
      <c r="K289" s="201">
        <v>56.20675907033467</v>
      </c>
      <c r="L289" s="200">
        <v>16.43096695513497</v>
      </c>
      <c r="M289" s="203">
        <v>27.36227397453036</v>
      </c>
      <c r="N289" s="434"/>
      <c r="O289" s="202">
        <v>76.764868235438428</v>
      </c>
      <c r="P289" s="200">
        <v>14.157790362480322</v>
      </c>
      <c r="Q289" s="200">
        <v>9.0773414020812453</v>
      </c>
      <c r="R289" s="201">
        <v>61.918974848774276</v>
      </c>
      <c r="S289" s="200">
        <v>13.299904489016237</v>
      </c>
      <c r="T289" s="200">
        <v>24.781120662209489</v>
      </c>
      <c r="U289" s="202">
        <v>72.285338716492191</v>
      </c>
      <c r="V289" s="200">
        <v>15.651847331111215</v>
      </c>
      <c r="W289" s="200">
        <v>12.062813952396601</v>
      </c>
      <c r="X289" s="201">
        <v>50.082529754148212</v>
      </c>
      <c r="Y289" s="200">
        <v>19.181652332551472</v>
      </c>
      <c r="Z289" s="203">
        <v>30.735817913300323</v>
      </c>
      <c r="AA289" s="200">
        <v>72.255385413963154</v>
      </c>
      <c r="AB289" s="204">
        <v>16.247080197248899</v>
      </c>
      <c r="AC289" s="200">
        <v>11.497534388787956</v>
      </c>
      <c r="AD289" s="201">
        <v>44.031343781260418</v>
      </c>
      <c r="AE289" s="200">
        <v>24.258086028676225</v>
      </c>
      <c r="AF289" s="205">
        <v>31.710570190063354</v>
      </c>
    </row>
    <row r="290" spans="1:32" x14ac:dyDescent="0.25">
      <c r="A290" s="199" t="s">
        <v>586</v>
      </c>
      <c r="B290" s="200">
        <v>74.606565548671938</v>
      </c>
      <c r="C290" s="200">
        <v>14.063946450188705</v>
      </c>
      <c r="D290" s="200">
        <v>11.329488001139358</v>
      </c>
      <c r="E290" s="201">
        <v>62.895966764756793</v>
      </c>
      <c r="F290" s="200">
        <v>27.462350701055911</v>
      </c>
      <c r="G290" s="200">
        <v>9.6416825341872947</v>
      </c>
      <c r="H290" s="202">
        <v>77.772143340094658</v>
      </c>
      <c r="I290" s="200">
        <v>11.130831643002029</v>
      </c>
      <c r="J290" s="200">
        <v>11.097025016903313</v>
      </c>
      <c r="K290" s="201">
        <v>61.323155216284988</v>
      </c>
      <c r="L290" s="200">
        <v>22.595419847328245</v>
      </c>
      <c r="M290" s="203">
        <v>16.081424936386767</v>
      </c>
      <c r="N290" s="434"/>
      <c r="O290" s="202">
        <v>79.780914911671687</v>
      </c>
      <c r="P290" s="200">
        <v>11.509681400910283</v>
      </c>
      <c r="Q290" s="200">
        <v>8.7094036874180354</v>
      </c>
      <c r="R290" s="201">
        <v>49.309723889555826</v>
      </c>
      <c r="S290" s="200">
        <v>32.232893157262907</v>
      </c>
      <c r="T290" s="200">
        <v>18.457382953181273</v>
      </c>
      <c r="U290" s="202">
        <v>75.495049504950501</v>
      </c>
      <c r="V290" s="200">
        <v>11.596534653465348</v>
      </c>
      <c r="W290" s="200">
        <v>12.908415841584159</v>
      </c>
      <c r="X290" s="201">
        <v>93.418401611820016</v>
      </c>
      <c r="Y290" s="200">
        <v>2.4848891873740766</v>
      </c>
      <c r="Z290" s="203">
        <v>4.0967092008059103</v>
      </c>
      <c r="AA290" s="200">
        <v>74.885496183206101</v>
      </c>
      <c r="AB290" s="204">
        <v>7.7862595419847329</v>
      </c>
      <c r="AC290" s="200">
        <v>17.328244274809158</v>
      </c>
      <c r="AD290" s="201">
        <v>54.147250698974837</v>
      </c>
      <c r="AE290" s="200">
        <v>20.503261882572225</v>
      </c>
      <c r="AF290" s="205">
        <v>25.349487418452938</v>
      </c>
    </row>
    <row r="291" spans="1:32" x14ac:dyDescent="0.25">
      <c r="A291" s="199" t="s">
        <v>587</v>
      </c>
      <c r="B291" s="200">
        <v>70.79829878764177</v>
      </c>
      <c r="C291" s="200">
        <v>21.172272193977317</v>
      </c>
      <c r="D291" s="200">
        <v>8.0294290183809149</v>
      </c>
      <c r="E291" s="201">
        <v>39.128161069814347</v>
      </c>
      <c r="F291" s="200">
        <v>25.322176982555749</v>
      </c>
      <c r="G291" s="200">
        <v>35.549661947629893</v>
      </c>
      <c r="H291" s="202">
        <v>72.396005158504025</v>
      </c>
      <c r="I291" s="200">
        <v>15.088624298953304</v>
      </c>
      <c r="J291" s="200">
        <v>12.515370542542662</v>
      </c>
      <c r="K291" s="201">
        <v>45.139176171621067</v>
      </c>
      <c r="L291" s="200">
        <v>21.033035872584364</v>
      </c>
      <c r="M291" s="203">
        <v>33.827787955794577</v>
      </c>
      <c r="N291" s="434"/>
      <c r="O291" s="202">
        <v>76.798673588649407</v>
      </c>
      <c r="P291" s="200">
        <v>12.484031420727895</v>
      </c>
      <c r="Q291" s="200">
        <v>10.717294990622706</v>
      </c>
      <c r="R291" s="201">
        <v>47.798209533026856</v>
      </c>
      <c r="S291" s="200">
        <v>22.259859666102106</v>
      </c>
      <c r="T291" s="200">
        <v>29.941930800871035</v>
      </c>
      <c r="U291" s="202">
        <v>72.422372135304542</v>
      </c>
      <c r="V291" s="200">
        <v>14.898808669441655</v>
      </c>
      <c r="W291" s="200">
        <v>12.678819195253816</v>
      </c>
      <c r="X291" s="201">
        <v>48.556767158434894</v>
      </c>
      <c r="Y291" s="200">
        <v>17.126363053239256</v>
      </c>
      <c r="Z291" s="203">
        <v>34.316869788325846</v>
      </c>
      <c r="AA291" s="200">
        <v>54.325105625972867</v>
      </c>
      <c r="AB291" s="204">
        <v>26.184122748499</v>
      </c>
      <c r="AC291" s="200">
        <v>19.490771625528129</v>
      </c>
      <c r="AD291" s="201">
        <v>35.595776772247362</v>
      </c>
      <c r="AE291" s="200">
        <v>23.076923076923077</v>
      </c>
      <c r="AF291" s="205">
        <v>41.327300150829558</v>
      </c>
    </row>
    <row r="292" spans="1:32" x14ac:dyDescent="0.25">
      <c r="A292" s="199" t="s">
        <v>588</v>
      </c>
      <c r="B292" s="200">
        <v>64.736842105263165</v>
      </c>
      <c r="C292" s="200">
        <v>22.078501338090987</v>
      </c>
      <c r="D292" s="200">
        <v>13.184656556645852</v>
      </c>
      <c r="E292" s="201">
        <v>47.621009268795056</v>
      </c>
      <c r="F292" s="200">
        <v>27.600411946446961</v>
      </c>
      <c r="G292" s="200">
        <v>24.778578784757983</v>
      </c>
      <c r="H292" s="202">
        <v>70.841229563485683</v>
      </c>
      <c r="I292" s="200">
        <v>17.576205312690714</v>
      </c>
      <c r="J292" s="200">
        <v>11.582565123823596</v>
      </c>
      <c r="K292" s="201">
        <v>46.264546504397266</v>
      </c>
      <c r="L292" s="200">
        <v>31.429332859554055</v>
      </c>
      <c r="M292" s="203">
        <v>22.306120636048682</v>
      </c>
      <c r="N292" s="434"/>
      <c r="O292" s="202">
        <v>68.052133316042017</v>
      </c>
      <c r="P292" s="200">
        <v>20.950590066139281</v>
      </c>
      <c r="Q292" s="200">
        <v>10.9972766178187</v>
      </c>
      <c r="R292" s="201">
        <v>44.464127546501331</v>
      </c>
      <c r="S292" s="200">
        <v>32.742840271626811</v>
      </c>
      <c r="T292" s="200">
        <v>22.793032181871865</v>
      </c>
      <c r="U292" s="202">
        <v>68.796156241658508</v>
      </c>
      <c r="V292" s="200">
        <v>18.07990034700596</v>
      </c>
      <c r="W292" s="200">
        <v>13.123943411335528</v>
      </c>
      <c r="X292" s="201">
        <v>45.884244372990352</v>
      </c>
      <c r="Y292" s="200">
        <v>34.533762057877816</v>
      </c>
      <c r="Z292" s="203">
        <v>19.581993569131832</v>
      </c>
      <c r="AA292" s="200">
        <v>85.599284436493733</v>
      </c>
      <c r="AB292" s="204">
        <v>4.673524150268336</v>
      </c>
      <c r="AC292" s="200">
        <v>9.7271914132379251</v>
      </c>
      <c r="AD292" s="201">
        <v>56.008739985433351</v>
      </c>
      <c r="AE292" s="200">
        <v>17.916970138383103</v>
      </c>
      <c r="AF292" s="205">
        <v>26.074289876183538</v>
      </c>
    </row>
    <row r="293" spans="1:32" x14ac:dyDescent="0.25">
      <c r="A293" s="199" t="s">
        <v>589</v>
      </c>
      <c r="B293" s="200">
        <v>65.901838626348578</v>
      </c>
      <c r="C293" s="200">
        <v>21.407080990730893</v>
      </c>
      <c r="D293" s="200">
        <v>12.691080382920529</v>
      </c>
      <c r="E293" s="201">
        <v>46.539000271778896</v>
      </c>
      <c r="F293" s="200">
        <v>25.175088328141658</v>
      </c>
      <c r="G293" s="200">
        <v>28.285911400079446</v>
      </c>
      <c r="H293" s="202">
        <v>68.579275170418313</v>
      </c>
      <c r="I293" s="200">
        <v>17.618884148235335</v>
      </c>
      <c r="J293" s="200">
        <v>13.801840681346345</v>
      </c>
      <c r="K293" s="201">
        <v>42.044198895027627</v>
      </c>
      <c r="L293" s="200">
        <v>21.937951551211221</v>
      </c>
      <c r="M293" s="203">
        <v>36.017849553761152</v>
      </c>
      <c r="N293" s="434"/>
      <c r="O293" s="202">
        <v>69.993682880606443</v>
      </c>
      <c r="P293" s="200">
        <v>17.77517071263123</v>
      </c>
      <c r="Q293" s="200">
        <v>12.231146406762326</v>
      </c>
      <c r="R293" s="201">
        <v>45.345134997452881</v>
      </c>
      <c r="S293" s="200">
        <v>21.650534895568008</v>
      </c>
      <c r="T293" s="200">
        <v>33.004330106979111</v>
      </c>
      <c r="U293" s="202">
        <v>66.340755988023943</v>
      </c>
      <c r="V293" s="200">
        <v>17.38866017964072</v>
      </c>
      <c r="W293" s="200">
        <v>16.270583832335326</v>
      </c>
      <c r="X293" s="201">
        <v>38.578494229712405</v>
      </c>
      <c r="Y293" s="200">
        <v>22.366733834035539</v>
      </c>
      <c r="Z293" s="203">
        <v>39.05477193625206</v>
      </c>
      <c r="AA293" s="200">
        <v>68.706133658834304</v>
      </c>
      <c r="AB293" s="204">
        <v>17.577052181873665</v>
      </c>
      <c r="AC293" s="200">
        <v>13.716814159292035</v>
      </c>
      <c r="AD293" s="201">
        <v>28.13688212927757</v>
      </c>
      <c r="AE293" s="200">
        <v>22.855935783692438</v>
      </c>
      <c r="AF293" s="205">
        <v>49.007182087029996</v>
      </c>
    </row>
    <row r="294" spans="1:32" x14ac:dyDescent="0.25">
      <c r="A294" s="199" t="s">
        <v>590</v>
      </c>
      <c r="B294" s="200">
        <v>74.367437669981399</v>
      </c>
      <c r="C294" s="200">
        <v>18.671640157288046</v>
      </c>
      <c r="D294" s="200">
        <v>6.9609221727305641</v>
      </c>
      <c r="E294" s="201">
        <v>50.337724076458358</v>
      </c>
      <c r="F294" s="200">
        <v>23.940774487471526</v>
      </c>
      <c r="G294" s="200">
        <v>25.72150143607012</v>
      </c>
      <c r="H294" s="202">
        <v>74.496953154754351</v>
      </c>
      <c r="I294" s="200">
        <v>14.553446743684143</v>
      </c>
      <c r="J294" s="200">
        <v>10.94960010156151</v>
      </c>
      <c r="K294" s="201">
        <v>46.311983261218437</v>
      </c>
      <c r="L294" s="200">
        <v>23.710565340158858</v>
      </c>
      <c r="M294" s="203">
        <v>29.977451398622705</v>
      </c>
      <c r="N294" s="434"/>
      <c r="O294" s="202">
        <v>76.125151501548686</v>
      </c>
      <c r="P294" s="200">
        <v>13.988418548278494</v>
      </c>
      <c r="Q294" s="200">
        <v>9.8864299501728237</v>
      </c>
      <c r="R294" s="201">
        <v>51.477706072161922</v>
      </c>
      <c r="S294" s="200">
        <v>22.931944851862713</v>
      </c>
      <c r="T294" s="200">
        <v>25.590349075975361</v>
      </c>
      <c r="U294" s="202">
        <v>71.972680592252857</v>
      </c>
      <c r="V294" s="200">
        <v>16.026056466756401</v>
      </c>
      <c r="W294" s="200">
        <v>12.001262940990744</v>
      </c>
      <c r="X294" s="201">
        <v>48.159578471960856</v>
      </c>
      <c r="Y294" s="200">
        <v>29.665035754610464</v>
      </c>
      <c r="Z294" s="203">
        <v>22.17538577342868</v>
      </c>
      <c r="AA294" s="200">
        <v>72.812535742880016</v>
      </c>
      <c r="AB294" s="204">
        <v>13.084753517099394</v>
      </c>
      <c r="AC294" s="200">
        <v>14.102710740020589</v>
      </c>
      <c r="AD294" s="201">
        <v>27.223439843119163</v>
      </c>
      <c r="AE294" s="200">
        <v>17.037720613680932</v>
      </c>
      <c r="AF294" s="205">
        <v>55.738839543199902</v>
      </c>
    </row>
    <row r="295" spans="1:32" x14ac:dyDescent="0.25">
      <c r="A295" s="199" t="s">
        <v>591</v>
      </c>
      <c r="B295" s="200">
        <v>57.518045236710591</v>
      </c>
      <c r="C295" s="200">
        <v>26.003800306636855</v>
      </c>
      <c r="D295" s="200">
        <v>16.478154456652558</v>
      </c>
      <c r="E295" s="201">
        <v>41.099239771714039</v>
      </c>
      <c r="F295" s="200">
        <v>26.522864323949829</v>
      </c>
      <c r="G295" s="200">
        <v>32.377895904336128</v>
      </c>
      <c r="H295" s="202">
        <v>62.754598991793145</v>
      </c>
      <c r="I295" s="200">
        <v>19.782303067229574</v>
      </c>
      <c r="J295" s="200">
        <v>17.463097940977292</v>
      </c>
      <c r="K295" s="201">
        <v>38.90930903336141</v>
      </c>
      <c r="L295" s="200">
        <v>26.629782780713175</v>
      </c>
      <c r="M295" s="203">
        <v>34.460908185925412</v>
      </c>
      <c r="N295" s="434"/>
      <c r="O295" s="202">
        <v>60.348638895598647</v>
      </c>
      <c r="P295" s="200">
        <v>21.399972185013578</v>
      </c>
      <c r="Q295" s="200">
        <v>18.251388919387779</v>
      </c>
      <c r="R295" s="201">
        <v>39.344812847285823</v>
      </c>
      <c r="S295" s="200">
        <v>26.879159797276671</v>
      </c>
      <c r="T295" s="200">
        <v>33.776027355437506</v>
      </c>
      <c r="U295" s="202">
        <v>64.368702512041878</v>
      </c>
      <c r="V295" s="200">
        <v>18.786583901187122</v>
      </c>
      <c r="W295" s="200">
        <v>16.844713586771011</v>
      </c>
      <c r="X295" s="201">
        <v>39.907867898150485</v>
      </c>
      <c r="Y295" s="200">
        <v>26.381408566910363</v>
      </c>
      <c r="Z295" s="203">
        <v>33.710723534939149</v>
      </c>
      <c r="AA295" s="200">
        <v>70.147661867196263</v>
      </c>
      <c r="AB295" s="204">
        <v>14.55103804637649</v>
      </c>
      <c r="AC295" s="200">
        <v>15.301300086427243</v>
      </c>
      <c r="AD295" s="201">
        <v>33.079052183892529</v>
      </c>
      <c r="AE295" s="200">
        <v>25.707149125767909</v>
      </c>
      <c r="AF295" s="205">
        <v>41.213798690339566</v>
      </c>
    </row>
    <row r="296" spans="1:32" x14ac:dyDescent="0.25">
      <c r="A296" s="199" t="s">
        <v>592</v>
      </c>
      <c r="B296" s="200">
        <v>78.967045139850455</v>
      </c>
      <c r="C296" s="200">
        <v>12.472306840210468</v>
      </c>
      <c r="D296" s="200">
        <v>8.5606480199390749</v>
      </c>
      <c r="E296" s="201">
        <v>54.458345537470187</v>
      </c>
      <c r="F296" s="200">
        <v>17.34800619272773</v>
      </c>
      <c r="G296" s="200">
        <v>28.193648269802086</v>
      </c>
      <c r="H296" s="202">
        <v>72.169138736376297</v>
      </c>
      <c r="I296" s="200">
        <v>17.582561665164302</v>
      </c>
      <c r="J296" s="200">
        <v>10.248299598459395</v>
      </c>
      <c r="K296" s="201">
        <v>53.778467908902691</v>
      </c>
      <c r="L296" s="200">
        <v>27.445652173913043</v>
      </c>
      <c r="M296" s="203">
        <v>18.775879917184266</v>
      </c>
      <c r="N296" s="434"/>
      <c r="O296" s="202">
        <v>70.568203930725829</v>
      </c>
      <c r="P296" s="200">
        <v>18.975805928520465</v>
      </c>
      <c r="Q296" s="200">
        <v>10.455990140753714</v>
      </c>
      <c r="R296" s="201">
        <v>52.843187660668377</v>
      </c>
      <c r="S296" s="200">
        <v>33.161953727506429</v>
      </c>
      <c r="T296" s="200">
        <v>13.994858611825192</v>
      </c>
      <c r="U296" s="202">
        <v>71.460297316896302</v>
      </c>
      <c r="V296" s="200">
        <v>17.077592458303119</v>
      </c>
      <c r="W296" s="200">
        <v>11.462110224800579</v>
      </c>
      <c r="X296" s="201">
        <v>64.54103517300544</v>
      </c>
      <c r="Y296" s="200">
        <v>7.892479267943953</v>
      </c>
      <c r="Z296" s="203">
        <v>27.566485559050612</v>
      </c>
      <c r="AA296" s="200">
        <v>80.179847253017982</v>
      </c>
      <c r="AB296" s="204">
        <v>13.6610002463661</v>
      </c>
      <c r="AC296" s="200">
        <v>6.1591525006159147</v>
      </c>
      <c r="AD296" s="201">
        <v>41.002685765443154</v>
      </c>
      <c r="AE296" s="200">
        <v>33.169203222918533</v>
      </c>
      <c r="AF296" s="205">
        <v>25.828111011638317</v>
      </c>
    </row>
    <row r="297" spans="1:32" x14ac:dyDescent="0.25">
      <c r="A297" s="199" t="s">
        <v>593</v>
      </c>
      <c r="B297" s="200">
        <v>81.978494623655919</v>
      </c>
      <c r="C297" s="200">
        <v>11.573802541544477</v>
      </c>
      <c r="D297" s="200">
        <v>6.4477028347996095</v>
      </c>
      <c r="E297" s="201">
        <v>57.520297234071826</v>
      </c>
      <c r="F297" s="200">
        <v>19.203247557451494</v>
      </c>
      <c r="G297" s="200">
        <v>23.276455208476676</v>
      </c>
      <c r="H297" s="202">
        <v>83.657377095846741</v>
      </c>
      <c r="I297" s="200">
        <v>12.701756383614676</v>
      </c>
      <c r="J297" s="200">
        <v>3.6408665205385859</v>
      </c>
      <c r="K297" s="201">
        <v>42.333033842467806</v>
      </c>
      <c r="L297" s="200">
        <v>41.629230308475591</v>
      </c>
      <c r="M297" s="203">
        <v>16.037735849056602</v>
      </c>
      <c r="N297" s="434"/>
      <c r="O297" s="202">
        <v>88.297977306364089</v>
      </c>
      <c r="P297" s="200">
        <v>7.804637395165269</v>
      </c>
      <c r="Q297" s="200">
        <v>3.8973852984706467</v>
      </c>
      <c r="R297" s="201">
        <v>46.812585499316008</v>
      </c>
      <c r="S297" s="200">
        <v>37.893296853625166</v>
      </c>
      <c r="T297" s="200">
        <v>15.294117647058824</v>
      </c>
      <c r="U297" s="202">
        <v>81.465640148274872</v>
      </c>
      <c r="V297" s="200">
        <v>14.722935082216521</v>
      </c>
      <c r="W297" s="200">
        <v>3.8114247695086019</v>
      </c>
      <c r="X297" s="201">
        <v>43.177737881508079</v>
      </c>
      <c r="Y297" s="200">
        <v>41.651705565529625</v>
      </c>
      <c r="Z297" s="203">
        <v>15.170556552962298</v>
      </c>
      <c r="AA297" s="200">
        <v>67.266021207929924</v>
      </c>
      <c r="AB297" s="204">
        <v>30.682342093130476</v>
      </c>
      <c r="AC297" s="200">
        <v>2.0516366989396033</v>
      </c>
      <c r="AD297" s="201">
        <v>33.26348873755893</v>
      </c>
      <c r="AE297" s="200">
        <v>48.821372446306967</v>
      </c>
      <c r="AF297" s="205">
        <v>17.915138816134103</v>
      </c>
    </row>
    <row r="298" spans="1:32" x14ac:dyDescent="0.25">
      <c r="A298" s="199" t="s">
        <v>594</v>
      </c>
      <c r="B298" s="200">
        <v>77.438874728594357</v>
      </c>
      <c r="C298" s="200">
        <v>14.254696497687153</v>
      </c>
      <c r="D298" s="200">
        <v>8.3064287737184941</v>
      </c>
      <c r="E298" s="201">
        <v>47.780666940376811</v>
      </c>
      <c r="F298" s="200">
        <v>21.375621550111763</v>
      </c>
      <c r="G298" s="200">
        <v>30.843711509511429</v>
      </c>
      <c r="H298" s="202">
        <v>75.546052884377872</v>
      </c>
      <c r="I298" s="200">
        <v>14.851430798535443</v>
      </c>
      <c r="J298" s="200">
        <v>9.6025163170866925</v>
      </c>
      <c r="K298" s="201">
        <v>46.724874943155982</v>
      </c>
      <c r="L298" s="200">
        <v>24.232833105957251</v>
      </c>
      <c r="M298" s="203">
        <v>29.042291950886767</v>
      </c>
      <c r="N298" s="434"/>
      <c r="O298" s="202">
        <v>78.461553345458768</v>
      </c>
      <c r="P298" s="200">
        <v>13.436979993034326</v>
      </c>
      <c r="Q298" s="200">
        <v>8.1014666615069082</v>
      </c>
      <c r="R298" s="201">
        <v>49.59254188669405</v>
      </c>
      <c r="S298" s="200">
        <v>17.641306473694502</v>
      </c>
      <c r="T298" s="200">
        <v>32.766151639611444</v>
      </c>
      <c r="U298" s="202">
        <v>71.942243847599642</v>
      </c>
      <c r="V298" s="200">
        <v>16.720827697658486</v>
      </c>
      <c r="W298" s="200">
        <v>11.336928454741871</v>
      </c>
      <c r="X298" s="201">
        <v>47.529985769465341</v>
      </c>
      <c r="Y298" s="200">
        <v>30.595649522260622</v>
      </c>
      <c r="Z298" s="203">
        <v>21.874364708274037</v>
      </c>
      <c r="AA298" s="200">
        <v>71.152351784979658</v>
      </c>
      <c r="AB298" s="204">
        <v>16.670475842208713</v>
      </c>
      <c r="AC298" s="200">
        <v>12.177172372811629</v>
      </c>
      <c r="AD298" s="201">
        <v>36.257861635220124</v>
      </c>
      <c r="AE298" s="200">
        <v>35.587002096436059</v>
      </c>
      <c r="AF298" s="205">
        <v>28.155136268343817</v>
      </c>
    </row>
    <row r="299" spans="1:32" x14ac:dyDescent="0.25">
      <c r="A299" s="199" t="s">
        <v>595</v>
      </c>
      <c r="B299" s="200">
        <v>72.55513152911702</v>
      </c>
      <c r="C299" s="200">
        <v>18.460686922830423</v>
      </c>
      <c r="D299" s="200">
        <v>8.9841815480525522</v>
      </c>
      <c r="E299" s="201">
        <v>55.527002002947732</v>
      </c>
      <c r="F299" s="200">
        <v>18.729450889989042</v>
      </c>
      <c r="G299" s="200">
        <v>25.743547107063225</v>
      </c>
      <c r="H299" s="202">
        <v>77.107004504087044</v>
      </c>
      <c r="I299" s="200">
        <v>13.499286389501586</v>
      </c>
      <c r="J299" s="200">
        <v>9.3937091064113734</v>
      </c>
      <c r="K299" s="201">
        <v>57.138296513855188</v>
      </c>
      <c r="L299" s="200">
        <v>19.039713957348997</v>
      </c>
      <c r="M299" s="203">
        <v>23.821989528795811</v>
      </c>
      <c r="N299" s="434"/>
      <c r="O299" s="202">
        <v>77.358154131450377</v>
      </c>
      <c r="P299" s="200">
        <v>13.280553475268356</v>
      </c>
      <c r="Q299" s="200">
        <v>9.3612923932812659</v>
      </c>
      <c r="R299" s="201">
        <v>54.851778656126484</v>
      </c>
      <c r="S299" s="200">
        <v>18.488142292490117</v>
      </c>
      <c r="T299" s="200">
        <v>26.660079051383402</v>
      </c>
      <c r="U299" s="202">
        <v>79.107444588013124</v>
      </c>
      <c r="V299" s="200">
        <v>14.108935493489714</v>
      </c>
      <c r="W299" s="200">
        <v>6.7836199184971679</v>
      </c>
      <c r="X299" s="201">
        <v>66.711663066954642</v>
      </c>
      <c r="Y299" s="200">
        <v>15.280777537796977</v>
      </c>
      <c r="Z299" s="203">
        <v>18.007559395248379</v>
      </c>
      <c r="AA299" s="200">
        <v>68.935729094678649</v>
      </c>
      <c r="AB299" s="204">
        <v>12.439530062197649</v>
      </c>
      <c r="AC299" s="200">
        <v>18.624740843123703</v>
      </c>
      <c r="AD299" s="201">
        <v>50.435255712731234</v>
      </c>
      <c r="AE299" s="200">
        <v>29.651795429815014</v>
      </c>
      <c r="AF299" s="205">
        <v>19.912948857453756</v>
      </c>
    </row>
    <row r="300" spans="1:32" x14ac:dyDescent="0.25">
      <c r="A300" s="199" t="s">
        <v>596</v>
      </c>
      <c r="B300" s="200">
        <v>70.934052050871728</v>
      </c>
      <c r="C300" s="200">
        <v>21.350964372947022</v>
      </c>
      <c r="D300" s="200">
        <v>7.7149835761812513</v>
      </c>
      <c r="E300" s="201">
        <v>58.688613059902863</v>
      </c>
      <c r="F300" s="200">
        <v>11.207051627990646</v>
      </c>
      <c r="G300" s="200">
        <v>30.104335312106496</v>
      </c>
      <c r="H300" s="202">
        <v>71.700867534200867</v>
      </c>
      <c r="I300" s="200">
        <v>16.416416416416414</v>
      </c>
      <c r="J300" s="200">
        <v>11.882716049382717</v>
      </c>
      <c r="K300" s="201">
        <v>54.499494438827099</v>
      </c>
      <c r="L300" s="200">
        <v>25.176946410515672</v>
      </c>
      <c r="M300" s="203">
        <v>20.323559150657232</v>
      </c>
      <c r="N300" s="434"/>
      <c r="O300" s="202">
        <v>72.541829016731612</v>
      </c>
      <c r="P300" s="200">
        <v>14.179845671938269</v>
      </c>
      <c r="Q300" s="200">
        <v>13.278325311330125</v>
      </c>
      <c r="R300" s="201">
        <v>62.453038674033145</v>
      </c>
      <c r="S300" s="200">
        <v>21.878453038674035</v>
      </c>
      <c r="T300" s="200">
        <v>15.668508287292818</v>
      </c>
      <c r="U300" s="202">
        <v>70.927168183996173</v>
      </c>
      <c r="V300" s="200">
        <v>19.896981312889313</v>
      </c>
      <c r="W300" s="200">
        <v>9.1758505031145194</v>
      </c>
      <c r="X300" s="201">
        <v>42.319749216300941</v>
      </c>
      <c r="Y300" s="200">
        <v>35.65118267312625</v>
      </c>
      <c r="Z300" s="203">
        <v>22.029068110572815</v>
      </c>
      <c r="AA300" s="200">
        <v>69.909413154785355</v>
      </c>
      <c r="AB300" s="204">
        <v>16.502560063016936</v>
      </c>
      <c r="AC300" s="200">
        <v>13.588026782197716</v>
      </c>
      <c r="AD300" s="201">
        <v>62.283737024221452</v>
      </c>
      <c r="AE300" s="200">
        <v>0</v>
      </c>
      <c r="AF300" s="205">
        <v>37.716262975778548</v>
      </c>
    </row>
    <row r="301" spans="1:32" x14ac:dyDescent="0.25">
      <c r="A301" s="199" t="s">
        <v>597</v>
      </c>
      <c r="B301" s="200">
        <v>68.55249141910285</v>
      </c>
      <c r="C301" s="200">
        <v>17.919280388211622</v>
      </c>
      <c r="D301" s="200">
        <v>13.528228192685523</v>
      </c>
      <c r="E301" s="201">
        <v>51.318051575931236</v>
      </c>
      <c r="F301" s="200">
        <v>22.908309455587393</v>
      </c>
      <c r="G301" s="200">
        <v>25.773638968481379</v>
      </c>
      <c r="H301" s="202">
        <v>72.881578085064547</v>
      </c>
      <c r="I301" s="200">
        <v>12.373025755291959</v>
      </c>
      <c r="J301" s="200">
        <v>14.745396159643489</v>
      </c>
      <c r="K301" s="201">
        <v>60.767590618336889</v>
      </c>
      <c r="L301" s="200">
        <v>13.059701492537313</v>
      </c>
      <c r="M301" s="203">
        <v>26.172707889125803</v>
      </c>
      <c r="N301" s="434"/>
      <c r="O301" s="202">
        <v>71.05758374106135</v>
      </c>
      <c r="P301" s="200">
        <v>11.566930121691129</v>
      </c>
      <c r="Q301" s="200">
        <v>17.375486137247524</v>
      </c>
      <c r="R301" s="201">
        <v>65.817307692307693</v>
      </c>
      <c r="S301" s="200">
        <v>14.182692307692307</v>
      </c>
      <c r="T301" s="200">
        <v>20</v>
      </c>
      <c r="U301" s="202">
        <v>72.608941709111491</v>
      </c>
      <c r="V301" s="200">
        <v>13.714393510658365</v>
      </c>
      <c r="W301" s="200">
        <v>13.676664780230144</v>
      </c>
      <c r="X301" s="201">
        <v>50.541215653621983</v>
      </c>
      <c r="Y301" s="200">
        <v>16.236469608659451</v>
      </c>
      <c r="Z301" s="203">
        <v>33.22231473771857</v>
      </c>
      <c r="AA301" s="200">
        <v>80.87569199798692</v>
      </c>
      <c r="AB301" s="204">
        <v>12.078510317060896</v>
      </c>
      <c r="AC301" s="200">
        <v>7.0457976849521886</v>
      </c>
      <c r="AD301" s="201">
        <v>64.468085106382972</v>
      </c>
      <c r="AE301" s="200">
        <v>0</v>
      </c>
      <c r="AF301" s="205">
        <v>35.531914893617021</v>
      </c>
    </row>
    <row r="302" spans="1:32" x14ac:dyDescent="0.25">
      <c r="A302" s="199" t="s">
        <v>598</v>
      </c>
      <c r="B302" s="200">
        <v>62.781181352916285</v>
      </c>
      <c r="C302" s="200">
        <v>23.698929467747824</v>
      </c>
      <c r="D302" s="200">
        <v>13.519889179335888</v>
      </c>
      <c r="E302" s="201">
        <v>44.856010215555855</v>
      </c>
      <c r="F302" s="200">
        <v>24.383445463035315</v>
      </c>
      <c r="G302" s="200">
        <v>30.760544321408833</v>
      </c>
      <c r="H302" s="202">
        <v>67.05912638196402</v>
      </c>
      <c r="I302" s="200">
        <v>18.661256232386734</v>
      </c>
      <c r="J302" s="200">
        <v>14.279617385649251</v>
      </c>
      <c r="K302" s="201">
        <v>41.76882581826505</v>
      </c>
      <c r="L302" s="200">
        <v>25.698329137102309</v>
      </c>
      <c r="M302" s="203">
        <v>32.532845044632644</v>
      </c>
      <c r="N302" s="434"/>
      <c r="O302" s="202">
        <v>64.86541881423878</v>
      </c>
      <c r="P302" s="200">
        <v>20.710130512101756</v>
      </c>
      <c r="Q302" s="200">
        <v>14.424450673659464</v>
      </c>
      <c r="R302" s="201">
        <v>43.70852511789456</v>
      </c>
      <c r="S302" s="200">
        <v>26.094936887583657</v>
      </c>
      <c r="T302" s="200">
        <v>30.196537994521787</v>
      </c>
      <c r="U302" s="202">
        <v>69.050139543836011</v>
      </c>
      <c r="V302" s="200">
        <v>17.062842844769513</v>
      </c>
      <c r="W302" s="200">
        <v>13.887017611394475</v>
      </c>
      <c r="X302" s="201">
        <v>39.911551388643197</v>
      </c>
      <c r="Y302" s="200">
        <v>25.038032902883423</v>
      </c>
      <c r="Z302" s="203">
        <v>35.050415708473373</v>
      </c>
      <c r="AA302" s="200">
        <v>72.019091213575976</v>
      </c>
      <c r="AB302" s="204">
        <v>13.347102824606452</v>
      </c>
      <c r="AC302" s="200">
        <v>14.633805961817572</v>
      </c>
      <c r="AD302" s="201">
        <v>33.392539964476022</v>
      </c>
      <c r="AE302" s="200">
        <v>24.768107361357806</v>
      </c>
      <c r="AF302" s="205">
        <v>41.839352674166172</v>
      </c>
    </row>
    <row r="303" spans="1:32" x14ac:dyDescent="0.25">
      <c r="A303" s="199" t="s">
        <v>599</v>
      </c>
      <c r="B303" s="200">
        <v>73.86948135447922</v>
      </c>
      <c r="C303" s="200">
        <v>18.554436348049723</v>
      </c>
      <c r="D303" s="200">
        <v>7.5760822974710678</v>
      </c>
      <c r="E303" s="201">
        <v>46.40276468740182</v>
      </c>
      <c r="F303" s="200">
        <v>24.882186616399622</v>
      </c>
      <c r="G303" s="200">
        <v>28.715048696198554</v>
      </c>
      <c r="H303" s="202">
        <v>79.855212607479814</v>
      </c>
      <c r="I303" s="200">
        <v>11.896610302380891</v>
      </c>
      <c r="J303" s="200">
        <v>8.2481770901392988</v>
      </c>
      <c r="K303" s="201">
        <v>43.252305113160098</v>
      </c>
      <c r="L303" s="200">
        <v>25.733445096395641</v>
      </c>
      <c r="M303" s="203">
        <v>31.014249790444261</v>
      </c>
      <c r="N303" s="434"/>
      <c r="O303" s="202">
        <v>79.717785703209799</v>
      </c>
      <c r="P303" s="200">
        <v>13.35090711738254</v>
      </c>
      <c r="Q303" s="200">
        <v>6.9313071794076597</v>
      </c>
      <c r="R303" s="201">
        <v>42.8125</v>
      </c>
      <c r="S303" s="200">
        <v>20.295138888888889</v>
      </c>
      <c r="T303" s="200">
        <v>36.892361111111107</v>
      </c>
      <c r="U303" s="202">
        <v>77.78840494408476</v>
      </c>
      <c r="V303" s="200">
        <v>11.116833431430253</v>
      </c>
      <c r="W303" s="200">
        <v>11.094761624484992</v>
      </c>
      <c r="X303" s="201">
        <v>39.963054187192121</v>
      </c>
      <c r="Y303" s="200">
        <v>40.825123152709359</v>
      </c>
      <c r="Z303" s="203">
        <v>19.21182266009852</v>
      </c>
      <c r="AA303" s="200">
        <v>85.631104432757326</v>
      </c>
      <c r="AB303" s="204">
        <v>8.6025544703230654</v>
      </c>
      <c r="AC303" s="200">
        <v>5.7663410969196089</v>
      </c>
      <c r="AD303" s="201">
        <v>51.396070320579113</v>
      </c>
      <c r="AE303" s="200">
        <v>32.781799379524301</v>
      </c>
      <c r="AF303" s="205">
        <v>15.822130299896585</v>
      </c>
    </row>
    <row r="304" spans="1:32" x14ac:dyDescent="0.25">
      <c r="A304" s="199" t="s">
        <v>600</v>
      </c>
      <c r="B304" s="200">
        <v>79.394930498773505</v>
      </c>
      <c r="C304" s="200">
        <v>15.152558419761586</v>
      </c>
      <c r="D304" s="200">
        <v>5.4525110814649054</v>
      </c>
      <c r="E304" s="201">
        <v>50.02536415682296</v>
      </c>
      <c r="F304" s="200">
        <v>19.834770635553301</v>
      </c>
      <c r="G304" s="200">
        <v>30.139865207623739</v>
      </c>
      <c r="H304" s="202">
        <v>81.240965979199714</v>
      </c>
      <c r="I304" s="200">
        <v>12.180504142429049</v>
      </c>
      <c r="J304" s="200">
        <v>6.5785298783712323</v>
      </c>
      <c r="K304" s="201">
        <v>33.720930232558139</v>
      </c>
      <c r="L304" s="200">
        <v>20.008019246190859</v>
      </c>
      <c r="M304" s="203">
        <v>46.271050521250999</v>
      </c>
      <c r="N304" s="434"/>
      <c r="O304" s="202">
        <v>83.452409784451447</v>
      </c>
      <c r="P304" s="200">
        <v>11.049891014773552</v>
      </c>
      <c r="Q304" s="200">
        <v>5.4976992007750063</v>
      </c>
      <c r="R304" s="201">
        <v>19.530102790014684</v>
      </c>
      <c r="S304" s="200">
        <v>16.556534508076361</v>
      </c>
      <c r="T304" s="200">
        <v>63.913362701908959</v>
      </c>
      <c r="U304" s="202">
        <v>82.605877268798622</v>
      </c>
      <c r="V304" s="200">
        <v>13.785652549697494</v>
      </c>
      <c r="W304" s="200">
        <v>3.6084701815038893</v>
      </c>
      <c r="X304" s="201">
        <v>37.426326129666009</v>
      </c>
      <c r="Y304" s="200">
        <v>20.825147347740668</v>
      </c>
      <c r="Z304" s="203">
        <v>41.748526522593323</v>
      </c>
      <c r="AA304" s="200">
        <v>62.283069803316629</v>
      </c>
      <c r="AB304" s="204">
        <v>13.652140377940608</v>
      </c>
      <c r="AC304" s="200">
        <v>24.064789818742767</v>
      </c>
      <c r="AD304" s="201">
        <v>61.717495987158912</v>
      </c>
      <c r="AE304" s="200">
        <v>26.886035313001607</v>
      </c>
      <c r="AF304" s="205">
        <v>11.396468699839486</v>
      </c>
    </row>
    <row r="305" spans="1:32" x14ac:dyDescent="0.25">
      <c r="A305" s="199" t="s">
        <v>601</v>
      </c>
      <c r="B305" s="200">
        <v>55.285355348169418</v>
      </c>
      <c r="C305" s="200">
        <v>20.692749461593682</v>
      </c>
      <c r="D305" s="200">
        <v>24.021895190236901</v>
      </c>
      <c r="E305" s="201">
        <v>40.943357783211084</v>
      </c>
      <c r="F305" s="200">
        <v>30.918907905460475</v>
      </c>
      <c r="G305" s="200">
        <v>28.137734311328444</v>
      </c>
      <c r="H305" s="202">
        <v>73.667472901549758</v>
      </c>
      <c r="I305" s="200">
        <v>17.266863746304757</v>
      </c>
      <c r="J305" s="200">
        <v>9.0656633521454815</v>
      </c>
      <c r="K305" s="201">
        <v>39.795918367346935</v>
      </c>
      <c r="L305" s="200">
        <v>35.877551020408163</v>
      </c>
      <c r="M305" s="203">
        <v>24.326530612244898</v>
      </c>
      <c r="N305" s="434"/>
      <c r="O305" s="202">
        <v>72.850678733031671</v>
      </c>
      <c r="P305" s="200">
        <v>16.386554621848738</v>
      </c>
      <c r="Q305" s="200">
        <v>10.762766645119587</v>
      </c>
      <c r="R305" s="201">
        <v>22.573233773693278</v>
      </c>
      <c r="S305" s="200">
        <v>41.98736358414704</v>
      </c>
      <c r="T305" s="200">
        <v>35.439402642159678</v>
      </c>
      <c r="U305" s="202">
        <v>75.766236326007686</v>
      </c>
      <c r="V305" s="200">
        <v>15.403567556913373</v>
      </c>
      <c r="W305" s="200">
        <v>8.8301961170789394</v>
      </c>
      <c r="X305" s="201">
        <v>47.457627118644069</v>
      </c>
      <c r="Y305" s="200">
        <v>23.062953995157383</v>
      </c>
      <c r="Z305" s="203">
        <v>29.479418886198548</v>
      </c>
      <c r="AA305" s="200">
        <v>68.933379357956497</v>
      </c>
      <c r="AB305" s="204">
        <v>26.613738350017258</v>
      </c>
      <c r="AC305" s="200">
        <v>4.4528822920262341</v>
      </c>
      <c r="AD305" s="201">
        <v>51.29396151293961</v>
      </c>
      <c r="AE305" s="200">
        <v>42.866622428666226</v>
      </c>
      <c r="AF305" s="205">
        <v>5.8394160583941606</v>
      </c>
    </row>
    <row r="306" spans="1:32" x14ac:dyDescent="0.25">
      <c r="A306" s="199" t="s">
        <v>602</v>
      </c>
      <c r="B306" s="200">
        <v>81.991385023194169</v>
      </c>
      <c r="C306" s="200">
        <v>6.9665341285619613</v>
      </c>
      <c r="D306" s="200">
        <v>11.04208084824387</v>
      </c>
      <c r="E306" s="201">
        <v>50.068493150684937</v>
      </c>
      <c r="F306" s="200">
        <v>22.759295499021526</v>
      </c>
      <c r="G306" s="200">
        <v>27.172211350293541</v>
      </c>
      <c r="H306" s="202">
        <v>77.236210707931193</v>
      </c>
      <c r="I306" s="200">
        <v>13.824338167897773</v>
      </c>
      <c r="J306" s="200">
        <v>8.9394511241710237</v>
      </c>
      <c r="K306" s="201">
        <v>46.097636815920396</v>
      </c>
      <c r="L306" s="200">
        <v>22.714552238805972</v>
      </c>
      <c r="M306" s="203">
        <v>31.187810945273633</v>
      </c>
      <c r="N306" s="434"/>
      <c r="O306" s="202">
        <v>74.98047092958376</v>
      </c>
      <c r="P306" s="200">
        <v>16.426738087267047</v>
      </c>
      <c r="Q306" s="200">
        <v>8.592790983149202</v>
      </c>
      <c r="R306" s="201">
        <v>42.997428103811082</v>
      </c>
      <c r="S306" s="200">
        <v>17.021276595744681</v>
      </c>
      <c r="T306" s="200">
        <v>39.981295300444238</v>
      </c>
      <c r="U306" s="202">
        <v>80.550379819406629</v>
      </c>
      <c r="V306" s="200">
        <v>11.122258850508814</v>
      </c>
      <c r="W306" s="200">
        <v>8.3273613300845639</v>
      </c>
      <c r="X306" s="201">
        <v>52.984293193717278</v>
      </c>
      <c r="Y306" s="200">
        <v>26.492146596858639</v>
      </c>
      <c r="Z306" s="203">
        <v>20.523560209424083</v>
      </c>
      <c r="AA306" s="200">
        <v>76.121119202759672</v>
      </c>
      <c r="AB306" s="204">
        <v>12.111920275967805</v>
      </c>
      <c r="AC306" s="200">
        <v>11.766960521272518</v>
      </c>
      <c r="AD306" s="201">
        <v>51.623646960865941</v>
      </c>
      <c r="AE306" s="200">
        <v>40.049958368026644</v>
      </c>
      <c r="AF306" s="205">
        <v>8.3263946711074102</v>
      </c>
    </row>
    <row r="307" spans="1:32" x14ac:dyDescent="0.25">
      <c r="A307" s="199" t="s">
        <v>603</v>
      </c>
      <c r="B307" s="200">
        <v>77.335800816727897</v>
      </c>
      <c r="C307" s="200">
        <v>14.1377238148568</v>
      </c>
      <c r="D307" s="200">
        <v>8.5264753684153032</v>
      </c>
      <c r="E307" s="201">
        <v>52.892387584523782</v>
      </c>
      <c r="F307" s="200">
        <v>21.566522620718761</v>
      </c>
      <c r="G307" s="200">
        <v>25.541089794757461</v>
      </c>
      <c r="H307" s="202">
        <v>77.05320357403231</v>
      </c>
      <c r="I307" s="200">
        <v>13.723063359386922</v>
      </c>
      <c r="J307" s="200">
        <v>9.2237330665807633</v>
      </c>
      <c r="K307" s="201">
        <v>49.286782616127518</v>
      </c>
      <c r="L307" s="200">
        <v>22.804153668646642</v>
      </c>
      <c r="M307" s="203">
        <v>27.909063715225845</v>
      </c>
      <c r="N307" s="434"/>
      <c r="O307" s="202">
        <v>78.382570577546318</v>
      </c>
      <c r="P307" s="200">
        <v>12.519810419437627</v>
      </c>
      <c r="Q307" s="200">
        <v>9.0976190030160531</v>
      </c>
      <c r="R307" s="201">
        <v>51.812530862404508</v>
      </c>
      <c r="S307" s="200">
        <v>20.64368083190519</v>
      </c>
      <c r="T307" s="200">
        <v>27.543788305690303</v>
      </c>
      <c r="U307" s="202">
        <v>75.694110094687844</v>
      </c>
      <c r="V307" s="200">
        <v>15.484405927352485</v>
      </c>
      <c r="W307" s="200">
        <v>8.8214839779596641</v>
      </c>
      <c r="X307" s="201">
        <v>46.357549042699958</v>
      </c>
      <c r="Y307" s="200">
        <v>27.558127797032199</v>
      </c>
      <c r="Z307" s="203">
        <v>26.084323160267843</v>
      </c>
      <c r="AA307" s="200">
        <v>74.31856745730893</v>
      </c>
      <c r="AB307" s="204">
        <v>14.764070905086827</v>
      </c>
      <c r="AC307" s="200">
        <v>10.917361637604246</v>
      </c>
      <c r="AD307" s="201">
        <v>44.577071238673973</v>
      </c>
      <c r="AE307" s="200">
        <v>23.205469046714775</v>
      </c>
      <c r="AF307" s="205">
        <v>32.217459714611252</v>
      </c>
    </row>
    <row r="308" spans="1:32" x14ac:dyDescent="0.25">
      <c r="A308" s="199" t="s">
        <v>604</v>
      </c>
      <c r="B308" s="200">
        <v>57.860862252983601</v>
      </c>
      <c r="C308" s="200">
        <v>20.191468029367055</v>
      </c>
      <c r="D308" s="200">
        <v>21.947669717649344</v>
      </c>
      <c r="E308" s="201">
        <v>49.04660422859066</v>
      </c>
      <c r="F308" s="200">
        <v>21.081262968986596</v>
      </c>
      <c r="G308" s="200">
        <v>29.872132802422747</v>
      </c>
      <c r="H308" s="202">
        <v>68.629167834127202</v>
      </c>
      <c r="I308" s="200">
        <v>18.49782852339591</v>
      </c>
      <c r="J308" s="200">
        <v>12.873003642476885</v>
      </c>
      <c r="K308" s="201">
        <v>49.628705855677111</v>
      </c>
      <c r="L308" s="200">
        <v>18.224590442718664</v>
      </c>
      <c r="M308" s="203">
        <v>32.146703701604217</v>
      </c>
      <c r="N308" s="434"/>
      <c r="O308" s="202">
        <v>67.123376623376615</v>
      </c>
      <c r="P308" s="200">
        <v>18.613636363636363</v>
      </c>
      <c r="Q308" s="200">
        <v>14.262987012987013</v>
      </c>
      <c r="R308" s="201">
        <v>52.408068719235587</v>
      </c>
      <c r="S308" s="200">
        <v>18.260785638451889</v>
      </c>
      <c r="T308" s="200">
        <v>29.331145642312517</v>
      </c>
      <c r="U308" s="202">
        <v>68.380942767739981</v>
      </c>
      <c r="V308" s="200">
        <v>20.298778641364692</v>
      </c>
      <c r="W308" s="200">
        <v>11.320278590895326</v>
      </c>
      <c r="X308" s="201">
        <v>49.040793825799341</v>
      </c>
      <c r="Y308" s="200">
        <v>18.699007717750828</v>
      </c>
      <c r="Z308" s="203">
        <v>32.260198456449835</v>
      </c>
      <c r="AA308" s="200">
        <v>76.529511480967798</v>
      </c>
      <c r="AB308" s="204">
        <v>12.467252273077516</v>
      </c>
      <c r="AC308" s="200">
        <v>11.003236245954692</v>
      </c>
      <c r="AD308" s="201">
        <v>40.123906705539355</v>
      </c>
      <c r="AE308" s="200">
        <v>17.31049562682216</v>
      </c>
      <c r="AF308" s="205">
        <v>42.565597667638485</v>
      </c>
    </row>
    <row r="309" spans="1:32" x14ac:dyDescent="0.25">
      <c r="A309" s="199" t="s">
        <v>605</v>
      </c>
      <c r="B309" s="200">
        <v>56.645554319972923</v>
      </c>
      <c r="C309" s="200">
        <v>25.697432674176863</v>
      </c>
      <c r="D309" s="200">
        <v>17.657013005850214</v>
      </c>
      <c r="E309" s="201">
        <v>43.325946766924787</v>
      </c>
      <c r="F309" s="200">
        <v>30.515648731419464</v>
      </c>
      <c r="G309" s="200">
        <v>26.158404501655752</v>
      </c>
      <c r="H309" s="202">
        <v>65.553327340202387</v>
      </c>
      <c r="I309" s="200">
        <v>18.587926146186295</v>
      </c>
      <c r="J309" s="200">
        <v>15.858746513611322</v>
      </c>
      <c r="K309" s="201">
        <v>47.557073676928397</v>
      </c>
      <c r="L309" s="200">
        <v>25.36319612590799</v>
      </c>
      <c r="M309" s="203">
        <v>27.07973019716361</v>
      </c>
      <c r="N309" s="434"/>
      <c r="O309" s="202">
        <v>64.047891018318737</v>
      </c>
      <c r="P309" s="200">
        <v>16.719549858273048</v>
      </c>
      <c r="Q309" s="200">
        <v>19.232559123408215</v>
      </c>
      <c r="R309" s="201">
        <v>52.515297906602257</v>
      </c>
      <c r="S309" s="200">
        <v>26.950080515297909</v>
      </c>
      <c r="T309" s="200">
        <v>20.534621578099841</v>
      </c>
      <c r="U309" s="202">
        <v>65.144265622734522</v>
      </c>
      <c r="V309" s="200">
        <v>23.821951573147746</v>
      </c>
      <c r="W309" s="200">
        <v>11.033782804117733</v>
      </c>
      <c r="X309" s="201">
        <v>39.241982507288633</v>
      </c>
      <c r="Y309" s="200">
        <v>23.109815354713316</v>
      </c>
      <c r="Z309" s="203">
        <v>37.648202137998055</v>
      </c>
      <c r="AA309" s="200">
        <v>72.484461615991933</v>
      </c>
      <c r="AB309" s="204">
        <v>13.875356962875863</v>
      </c>
      <c r="AC309" s="200">
        <v>13.640181421132203</v>
      </c>
      <c r="AD309" s="201">
        <v>33.618233618233617</v>
      </c>
      <c r="AE309" s="200">
        <v>20.065120065120066</v>
      </c>
      <c r="AF309" s="205">
        <v>46.316646316646313</v>
      </c>
    </row>
    <row r="310" spans="1:32" x14ac:dyDescent="0.25">
      <c r="A310" s="199" t="s">
        <v>606</v>
      </c>
      <c r="B310" s="200">
        <v>77.098199116547733</v>
      </c>
      <c r="C310" s="200">
        <v>12.405708460754331</v>
      </c>
      <c r="D310" s="200">
        <v>10.496092422697927</v>
      </c>
      <c r="E310" s="201">
        <v>46.296639200074068</v>
      </c>
      <c r="F310" s="200">
        <v>25.020831404499582</v>
      </c>
      <c r="G310" s="200">
        <v>28.68252939542635</v>
      </c>
      <c r="H310" s="202">
        <v>69.641542183883871</v>
      </c>
      <c r="I310" s="200">
        <v>15.878129602356406</v>
      </c>
      <c r="J310" s="200">
        <v>14.48032821375973</v>
      </c>
      <c r="K310" s="201">
        <v>50.915414397270162</v>
      </c>
      <c r="L310" s="200">
        <v>20.230986285189317</v>
      </c>
      <c r="M310" s="203">
        <v>28.853599317540525</v>
      </c>
      <c r="N310" s="434"/>
      <c r="O310" s="202">
        <v>69.457504011711379</v>
      </c>
      <c r="P310" s="200">
        <v>17.229244672165763</v>
      </c>
      <c r="Q310" s="200">
        <v>13.313251316122857</v>
      </c>
      <c r="R310" s="201">
        <v>46.88358799604265</v>
      </c>
      <c r="S310" s="200">
        <v>24.051885236891284</v>
      </c>
      <c r="T310" s="200">
        <v>29.064526767066067</v>
      </c>
      <c r="U310" s="202">
        <v>71.049706209306024</v>
      </c>
      <c r="V310" s="200">
        <v>14.524376687311419</v>
      </c>
      <c r="W310" s="200">
        <v>14.425917103382563</v>
      </c>
      <c r="X310" s="201">
        <v>64.949928469241769</v>
      </c>
      <c r="Y310" s="200">
        <v>13.01859799713877</v>
      </c>
      <c r="Z310" s="203">
        <v>22.031473533619454</v>
      </c>
      <c r="AA310" s="200">
        <v>65.461181154611808</v>
      </c>
      <c r="AB310" s="204">
        <v>15.284229152842292</v>
      </c>
      <c r="AC310" s="200">
        <v>19.254589692545899</v>
      </c>
      <c r="AD310" s="201">
        <v>39.52772073921971</v>
      </c>
      <c r="AE310" s="200">
        <v>17.915811088295687</v>
      </c>
      <c r="AF310" s="205">
        <v>42.5564681724846</v>
      </c>
    </row>
    <row r="311" spans="1:32" x14ac:dyDescent="0.25">
      <c r="A311" s="199" t="s">
        <v>607</v>
      </c>
      <c r="B311" s="200">
        <v>70.597435919966955</v>
      </c>
      <c r="C311" s="200">
        <v>19.105823220828977</v>
      </c>
      <c r="D311" s="200">
        <v>10.296740859204064</v>
      </c>
      <c r="E311" s="201">
        <v>51.379366019051723</v>
      </c>
      <c r="F311" s="200">
        <v>25.927560411172699</v>
      </c>
      <c r="G311" s="200">
        <v>22.693073569775578</v>
      </c>
      <c r="H311" s="202">
        <v>77.73296028600295</v>
      </c>
      <c r="I311" s="200">
        <v>13.174788217921815</v>
      </c>
      <c r="J311" s="200">
        <v>9.0922514960752299</v>
      </c>
      <c r="K311" s="201">
        <v>42.546740778170793</v>
      </c>
      <c r="L311" s="200">
        <v>24.406265790803435</v>
      </c>
      <c r="M311" s="203">
        <v>33.046993431025776</v>
      </c>
      <c r="N311" s="434"/>
      <c r="O311" s="202">
        <v>77.167824333408021</v>
      </c>
      <c r="P311" s="200">
        <v>13.289662716980139</v>
      </c>
      <c r="Q311" s="200">
        <v>9.5425129496118402</v>
      </c>
      <c r="R311" s="201">
        <v>40.682945624428072</v>
      </c>
      <c r="S311" s="200">
        <v>27.770553388238696</v>
      </c>
      <c r="T311" s="200">
        <v>31.546500987333236</v>
      </c>
      <c r="U311" s="202">
        <v>76.830796299752066</v>
      </c>
      <c r="V311" s="200">
        <v>13.238783290234865</v>
      </c>
      <c r="W311" s="200">
        <v>9.9304204100130633</v>
      </c>
      <c r="X311" s="201">
        <v>45.97730460283055</v>
      </c>
      <c r="Y311" s="200">
        <v>20.527859237536656</v>
      </c>
      <c r="Z311" s="203">
        <v>33.494836159632797</v>
      </c>
      <c r="AA311" s="200">
        <v>82.740353172007858</v>
      </c>
      <c r="AB311" s="204">
        <v>12.452583387835187</v>
      </c>
      <c r="AC311" s="200">
        <v>4.8070634401569654</v>
      </c>
      <c r="AD311" s="201">
        <v>46.400523560209422</v>
      </c>
      <c r="AE311" s="200">
        <v>11.485602094240837</v>
      </c>
      <c r="AF311" s="205">
        <v>42.113874345549739</v>
      </c>
    </row>
    <row r="312" spans="1:32" x14ac:dyDescent="0.25">
      <c r="A312" s="199" t="s">
        <v>608</v>
      </c>
      <c r="B312" s="200">
        <v>81.811611659841006</v>
      </c>
      <c r="C312" s="200">
        <v>9.1062394603709951</v>
      </c>
      <c r="D312" s="200">
        <v>9.0821488797880026</v>
      </c>
      <c r="E312" s="201">
        <v>64.023878369555078</v>
      </c>
      <c r="F312" s="200">
        <v>22.749743494077045</v>
      </c>
      <c r="G312" s="200">
        <v>13.226378136367876</v>
      </c>
      <c r="H312" s="202">
        <v>80.593039772727266</v>
      </c>
      <c r="I312" s="200">
        <v>13.482481060606061</v>
      </c>
      <c r="J312" s="200">
        <v>5.9244791666666661</v>
      </c>
      <c r="K312" s="201">
        <v>65.536486675038375</v>
      </c>
      <c r="L312" s="200">
        <v>16.91084135621599</v>
      </c>
      <c r="M312" s="203">
        <v>17.552671968745639</v>
      </c>
      <c r="N312" s="434"/>
      <c r="O312" s="202">
        <v>80.809774796358411</v>
      </c>
      <c r="P312" s="200">
        <v>14.805941542884524</v>
      </c>
      <c r="Q312" s="200">
        <v>4.3842836607570677</v>
      </c>
      <c r="R312" s="201">
        <v>67.932272960492554</v>
      </c>
      <c r="S312" s="200">
        <v>13.340174448435093</v>
      </c>
      <c r="T312" s="200">
        <v>18.727552591072342</v>
      </c>
      <c r="U312" s="202">
        <v>82.744918233226343</v>
      </c>
      <c r="V312" s="200">
        <v>9.5674766926486328</v>
      </c>
      <c r="W312" s="200">
        <v>7.6876050741250186</v>
      </c>
      <c r="X312" s="201">
        <v>72.526573998364668</v>
      </c>
      <c r="Y312" s="200">
        <v>8.5036794766966484</v>
      </c>
      <c r="Z312" s="203">
        <v>18.969746524938675</v>
      </c>
      <c r="AA312" s="200">
        <v>72.704590818363272</v>
      </c>
      <c r="AB312" s="204">
        <v>20.708582834331338</v>
      </c>
      <c r="AC312" s="200">
        <v>6.5868263473053901</v>
      </c>
      <c r="AD312" s="201">
        <v>33.414337788578372</v>
      </c>
      <c r="AE312" s="200">
        <v>58.809234507897933</v>
      </c>
      <c r="AF312" s="205">
        <v>7.7764277035236935</v>
      </c>
    </row>
    <row r="313" spans="1:32" x14ac:dyDescent="0.25">
      <c r="A313" s="199" t="s">
        <v>609</v>
      </c>
      <c r="B313" s="200">
        <v>76.319890392620323</v>
      </c>
      <c r="C313" s="200">
        <v>15.282280837534252</v>
      </c>
      <c r="D313" s="200">
        <v>8.3978287698454199</v>
      </c>
      <c r="E313" s="201">
        <v>55.711196303941804</v>
      </c>
      <c r="F313" s="200">
        <v>21.593925095841936</v>
      </c>
      <c r="G313" s="200">
        <v>22.69487860021626</v>
      </c>
      <c r="H313" s="202">
        <v>79.322445150573614</v>
      </c>
      <c r="I313" s="200">
        <v>11.088383312937093</v>
      </c>
      <c r="J313" s="200">
        <v>9.5891715364892836</v>
      </c>
      <c r="K313" s="201">
        <v>56.252619654488811</v>
      </c>
      <c r="L313" s="200">
        <v>18.355140186915889</v>
      </c>
      <c r="M313" s="203">
        <v>25.392240158595296</v>
      </c>
      <c r="N313" s="434"/>
      <c r="O313" s="202">
        <v>78.852945772776991</v>
      </c>
      <c r="P313" s="200">
        <v>11.933739646819816</v>
      </c>
      <c r="Q313" s="200">
        <v>9.2133145804031891</v>
      </c>
      <c r="R313" s="201">
        <v>59.7906556622153</v>
      </c>
      <c r="S313" s="200">
        <v>16.972477064220186</v>
      </c>
      <c r="T313" s="200">
        <v>23.236867273564521</v>
      </c>
      <c r="U313" s="202">
        <v>78.511352246481025</v>
      </c>
      <c r="V313" s="200">
        <v>10.969843552534101</v>
      </c>
      <c r="W313" s="200">
        <v>10.518804200984878</v>
      </c>
      <c r="X313" s="201">
        <v>49.854959518552192</v>
      </c>
      <c r="Y313" s="200">
        <v>21.868640949041001</v>
      </c>
      <c r="Z313" s="203">
        <v>28.276399532406803</v>
      </c>
      <c r="AA313" s="200">
        <v>84.024413263701007</v>
      </c>
      <c r="AB313" s="204">
        <v>7.1761152708739697</v>
      </c>
      <c r="AC313" s="200">
        <v>8.7994714654250288</v>
      </c>
      <c r="AD313" s="201">
        <v>50.281124497991968</v>
      </c>
      <c r="AE313" s="200">
        <v>18.003442340791739</v>
      </c>
      <c r="AF313" s="205">
        <v>31.715433161216293</v>
      </c>
    </row>
    <row r="314" spans="1:32" x14ac:dyDescent="0.25">
      <c r="A314" s="199" t="s">
        <v>610</v>
      </c>
      <c r="B314" s="200">
        <v>55.112873281719068</v>
      </c>
      <c r="C314" s="200">
        <v>27.09551271922895</v>
      </c>
      <c r="D314" s="200">
        <v>17.791613999051982</v>
      </c>
      <c r="E314" s="201">
        <v>44.068997974023887</v>
      </c>
      <c r="F314" s="200">
        <v>26.892680659102258</v>
      </c>
      <c r="G314" s="200">
        <v>29.038321366873852</v>
      </c>
      <c r="H314" s="202">
        <v>63.904900486913363</v>
      </c>
      <c r="I314" s="200">
        <v>18.5429043832922</v>
      </c>
      <c r="J314" s="200">
        <v>17.552195129794434</v>
      </c>
      <c r="K314" s="201">
        <v>42.205257166378317</v>
      </c>
      <c r="L314" s="200">
        <v>26.515438986898886</v>
      </c>
      <c r="M314" s="203">
        <v>31.279303846722794</v>
      </c>
      <c r="N314" s="434"/>
      <c r="O314" s="202">
        <v>60.890294355875227</v>
      </c>
      <c r="P314" s="200">
        <v>21.424587373107833</v>
      </c>
      <c r="Q314" s="200">
        <v>17.685118271016933</v>
      </c>
      <c r="R314" s="201">
        <v>46.677384245159615</v>
      </c>
      <c r="S314" s="200">
        <v>24.774581365392873</v>
      </c>
      <c r="T314" s="200">
        <v>28.548034389447512</v>
      </c>
      <c r="U314" s="202">
        <v>66.216912053481821</v>
      </c>
      <c r="V314" s="200">
        <v>16.3054956755483</v>
      </c>
      <c r="W314" s="200">
        <v>17.477592270969883</v>
      </c>
      <c r="X314" s="201">
        <v>34.315755066463282</v>
      </c>
      <c r="Y314" s="200">
        <v>34.490084985835693</v>
      </c>
      <c r="Z314" s="203">
        <v>31.194159947701021</v>
      </c>
      <c r="AA314" s="200">
        <v>70.710019653863029</v>
      </c>
      <c r="AB314" s="204">
        <v>12.097620546873509</v>
      </c>
      <c r="AC314" s="200">
        <v>17.192359799263457</v>
      </c>
      <c r="AD314" s="201">
        <v>33.709192439862548</v>
      </c>
      <c r="AE314" s="200">
        <v>20.156786941580755</v>
      </c>
      <c r="AF314" s="205">
        <v>46.134020618556704</v>
      </c>
    </row>
    <row r="315" spans="1:32" x14ac:dyDescent="0.25">
      <c r="A315" s="199" t="s">
        <v>611</v>
      </c>
      <c r="B315" s="200">
        <v>61.661702521190634</v>
      </c>
      <c r="C315" s="200">
        <v>24.19207735137859</v>
      </c>
      <c r="D315" s="200">
        <v>14.146220127430784</v>
      </c>
      <c r="E315" s="201">
        <v>52.178668623612523</v>
      </c>
      <c r="F315" s="200">
        <v>21.807882039356208</v>
      </c>
      <c r="G315" s="200">
        <v>26.013449337031268</v>
      </c>
      <c r="H315" s="202">
        <v>65.84759549218542</v>
      </c>
      <c r="I315" s="200">
        <v>18.505699196260313</v>
      </c>
      <c r="J315" s="200">
        <v>15.646705311554273</v>
      </c>
      <c r="K315" s="201">
        <v>43.556128797993821</v>
      </c>
      <c r="L315" s="200">
        <v>24.697125004255192</v>
      </c>
      <c r="M315" s="203">
        <v>31.746746197750991</v>
      </c>
      <c r="N315" s="434"/>
      <c r="O315" s="202">
        <v>64.009359230604929</v>
      </c>
      <c r="P315" s="200">
        <v>21.016509351261234</v>
      </c>
      <c r="Q315" s="200">
        <v>14.97413141813383</v>
      </c>
      <c r="R315" s="201">
        <v>47.012812036078294</v>
      </c>
      <c r="S315" s="200">
        <v>22.653101959854787</v>
      </c>
      <c r="T315" s="200">
        <v>30.334086004066918</v>
      </c>
      <c r="U315" s="202">
        <v>67.656987757640877</v>
      </c>
      <c r="V315" s="200">
        <v>16.198931267494132</v>
      </c>
      <c r="W315" s="200">
        <v>16.144080974864995</v>
      </c>
      <c r="X315" s="201">
        <v>38.170785306168739</v>
      </c>
      <c r="Y315" s="200">
        <v>29.373484751818296</v>
      </c>
      <c r="Z315" s="203">
        <v>32.455729942012958</v>
      </c>
      <c r="AA315" s="200">
        <v>69.610214462670598</v>
      </c>
      <c r="AB315" s="204">
        <v>12.939589838310098</v>
      </c>
      <c r="AC315" s="200">
        <v>17.450195699019304</v>
      </c>
      <c r="AD315" s="201">
        <v>38.357389955863056</v>
      </c>
      <c r="AE315" s="200">
        <v>24.633186210187283</v>
      </c>
      <c r="AF315" s="205">
        <v>37.009423833949661</v>
      </c>
    </row>
    <row r="316" spans="1:32" x14ac:dyDescent="0.25">
      <c r="A316" s="199" t="s">
        <v>612</v>
      </c>
      <c r="B316" s="200">
        <v>65.950891806505439</v>
      </c>
      <c r="C316" s="200">
        <v>23.543549111759294</v>
      </c>
      <c r="D316" s="200">
        <v>10.50555908173526</v>
      </c>
      <c r="E316" s="201">
        <v>54.527176853787154</v>
      </c>
      <c r="F316" s="200">
        <v>23.595004933529967</v>
      </c>
      <c r="G316" s="200">
        <v>21.877818212682882</v>
      </c>
      <c r="H316" s="202">
        <v>67.081839751269058</v>
      </c>
      <c r="I316" s="200">
        <v>17.922984771289663</v>
      </c>
      <c r="J316" s="200">
        <v>14.995175477441277</v>
      </c>
      <c r="K316" s="201">
        <v>45.549856064824141</v>
      </c>
      <c r="L316" s="200">
        <v>23.595891628066767</v>
      </c>
      <c r="M316" s="203">
        <v>30.854252307109093</v>
      </c>
      <c r="N316" s="434"/>
      <c r="O316" s="202">
        <v>65.297528814456555</v>
      </c>
      <c r="P316" s="200">
        <v>19.023556870954547</v>
      </c>
      <c r="Q316" s="200">
        <v>15.678914314588898</v>
      </c>
      <c r="R316" s="201">
        <v>48.693599346799672</v>
      </c>
      <c r="S316" s="200">
        <v>23.749511874755939</v>
      </c>
      <c r="T316" s="200">
        <v>27.556888778444389</v>
      </c>
      <c r="U316" s="202">
        <v>69.090657567093984</v>
      </c>
      <c r="V316" s="200">
        <v>17.536659596052754</v>
      </c>
      <c r="W316" s="200">
        <v>13.37268283685327</v>
      </c>
      <c r="X316" s="201">
        <v>41.925393883225212</v>
      </c>
      <c r="Y316" s="200">
        <v>23.748841519925858</v>
      </c>
      <c r="Z316" s="203">
        <v>34.325764596848934</v>
      </c>
      <c r="AA316" s="200">
        <v>70.782075585850848</v>
      </c>
      <c r="AB316" s="204">
        <v>13.40297664663413</v>
      </c>
      <c r="AC316" s="200">
        <v>15.814947767515026</v>
      </c>
      <c r="AD316" s="201">
        <v>34.961154273029962</v>
      </c>
      <c r="AE316" s="200">
        <v>22.549019607843139</v>
      </c>
      <c r="AF316" s="205">
        <v>42.489826119126896</v>
      </c>
    </row>
    <row r="317" spans="1:32" x14ac:dyDescent="0.25">
      <c r="A317" s="199" t="s">
        <v>613</v>
      </c>
      <c r="B317" s="200">
        <v>53.687680263700045</v>
      </c>
      <c r="C317" s="200">
        <v>36.225793160280176</v>
      </c>
      <c r="D317" s="200">
        <v>10.086526576019777</v>
      </c>
      <c r="E317" s="201">
        <v>47.924448088427319</v>
      </c>
      <c r="F317" s="200">
        <v>24.044213658862471</v>
      </c>
      <c r="G317" s="200">
        <v>28.031338252710214</v>
      </c>
      <c r="H317" s="202">
        <v>67.48433757140225</v>
      </c>
      <c r="I317" s="200">
        <v>18.546158098396901</v>
      </c>
      <c r="J317" s="200">
        <v>13.969504330200847</v>
      </c>
      <c r="K317" s="201">
        <v>49.925462134764459</v>
      </c>
      <c r="L317" s="200">
        <v>31.581693500298151</v>
      </c>
      <c r="M317" s="203">
        <v>18.49284436493739</v>
      </c>
      <c r="N317" s="434"/>
      <c r="O317" s="202">
        <v>64.886838057569761</v>
      </c>
      <c r="P317" s="200">
        <v>20.77785102175346</v>
      </c>
      <c r="Q317" s="200">
        <v>14.335310920676775</v>
      </c>
      <c r="R317" s="201">
        <v>55.049504950495056</v>
      </c>
      <c r="S317" s="200">
        <v>29.975247524752476</v>
      </c>
      <c r="T317" s="200">
        <v>14.975247524752474</v>
      </c>
      <c r="U317" s="202">
        <v>69.651146434097626</v>
      </c>
      <c r="V317" s="200">
        <v>14.685609790406525</v>
      </c>
      <c r="W317" s="200">
        <v>15.66324377549585</v>
      </c>
      <c r="X317" s="201">
        <v>43.388116308470295</v>
      </c>
      <c r="Y317" s="200">
        <v>32.515802781289501</v>
      </c>
      <c r="Z317" s="203">
        <v>24.096080910240204</v>
      </c>
      <c r="AA317" s="200">
        <v>71.876455067515138</v>
      </c>
      <c r="AB317" s="204">
        <v>19.183610119509545</v>
      </c>
      <c r="AC317" s="200">
        <v>8.9399348129753218</v>
      </c>
      <c r="AD317" s="201">
        <v>38.667632150615496</v>
      </c>
      <c r="AE317" s="200">
        <v>38.30557566980449</v>
      </c>
      <c r="AF317" s="205">
        <v>23.026792179580013</v>
      </c>
    </row>
    <row r="318" spans="1:32" x14ac:dyDescent="0.25">
      <c r="A318" s="199" t="s">
        <v>614</v>
      </c>
      <c r="B318" s="200">
        <v>57.773957243235166</v>
      </c>
      <c r="C318" s="200">
        <v>34.661384362386002</v>
      </c>
      <c r="D318" s="200">
        <v>7.5646583943788315</v>
      </c>
      <c r="E318" s="201">
        <v>48.0168139685277</v>
      </c>
      <c r="F318" s="200">
        <v>23.507221383918946</v>
      </c>
      <c r="G318" s="200">
        <v>28.475964647553354</v>
      </c>
      <c r="H318" s="202">
        <v>64.84573226428499</v>
      </c>
      <c r="I318" s="200">
        <v>20.618085862173956</v>
      </c>
      <c r="J318" s="200">
        <v>14.536181873541054</v>
      </c>
      <c r="K318" s="201">
        <v>45.64167524344866</v>
      </c>
      <c r="L318" s="200">
        <v>28.208376217243291</v>
      </c>
      <c r="M318" s="203">
        <v>26.149948539308049</v>
      </c>
      <c r="N318" s="434"/>
      <c r="O318" s="202">
        <v>66.161661171018622</v>
      </c>
      <c r="P318" s="200">
        <v>21.005257998395866</v>
      </c>
      <c r="Q318" s="200">
        <v>12.833080830585509</v>
      </c>
      <c r="R318" s="201">
        <v>40.977128487606272</v>
      </c>
      <c r="S318" s="200">
        <v>33.648664830559213</v>
      </c>
      <c r="T318" s="200">
        <v>25.374206681834512</v>
      </c>
      <c r="U318" s="202">
        <v>63.166332665330657</v>
      </c>
      <c r="V318" s="200">
        <v>17.362725450901802</v>
      </c>
      <c r="W318" s="200">
        <v>19.470941883767534</v>
      </c>
      <c r="X318" s="201">
        <v>49.407620877361516</v>
      </c>
      <c r="Y318" s="200">
        <v>19.788664745437078</v>
      </c>
      <c r="Z318" s="203">
        <v>30.803714377201409</v>
      </c>
      <c r="AA318" s="200">
        <v>62.936596218020021</v>
      </c>
      <c r="AB318" s="204">
        <v>27.719688542825359</v>
      </c>
      <c r="AC318" s="200">
        <v>9.3437152391546174</v>
      </c>
      <c r="AD318" s="201">
        <v>69.144338807260155</v>
      </c>
      <c r="AE318" s="200">
        <v>11.668107173725151</v>
      </c>
      <c r="AF318" s="205">
        <v>19.187554019014694</v>
      </c>
    </row>
    <row r="319" spans="1:32" x14ac:dyDescent="0.25">
      <c r="A319" s="199" t="s">
        <v>615</v>
      </c>
      <c r="B319" s="200">
        <v>71.469304107636106</v>
      </c>
      <c r="C319" s="200">
        <v>9.7656598057560373</v>
      </c>
      <c r="D319" s="200">
        <v>18.765036086607857</v>
      </c>
      <c r="E319" s="201">
        <v>56.240875912408761</v>
      </c>
      <c r="F319" s="200">
        <v>16.620437956204377</v>
      </c>
      <c r="G319" s="200">
        <v>27.138686131386862</v>
      </c>
      <c r="H319" s="202">
        <v>71.238215796662118</v>
      </c>
      <c r="I319" s="200">
        <v>12.895166394616741</v>
      </c>
      <c r="J319" s="200">
        <v>15.866617808721143</v>
      </c>
      <c r="K319" s="201">
        <v>54.248099891422363</v>
      </c>
      <c r="L319" s="200">
        <v>22.502714440825187</v>
      </c>
      <c r="M319" s="203">
        <v>23.249185667752442</v>
      </c>
      <c r="N319" s="434"/>
      <c r="O319" s="202">
        <v>69.85061938304591</v>
      </c>
      <c r="P319" s="200">
        <v>13.177070682535827</v>
      </c>
      <c r="Q319" s="200">
        <v>16.972309934418266</v>
      </c>
      <c r="R319" s="201">
        <v>51.618472162278806</v>
      </c>
      <c r="S319" s="200">
        <v>21.946482520500648</v>
      </c>
      <c r="T319" s="200">
        <v>26.435045317220546</v>
      </c>
      <c r="U319" s="202">
        <v>70.051252296683103</v>
      </c>
      <c r="V319" s="200">
        <v>11.594623343970603</v>
      </c>
      <c r="W319" s="200">
        <v>18.35412435934629</v>
      </c>
      <c r="X319" s="201">
        <v>58.283261802575105</v>
      </c>
      <c r="Y319" s="200">
        <v>24.206008583690988</v>
      </c>
      <c r="Z319" s="203">
        <v>17.510729613733904</v>
      </c>
      <c r="AA319" s="200">
        <v>82.18068535825546</v>
      </c>
      <c r="AB319" s="204">
        <v>15.638629283489097</v>
      </c>
      <c r="AC319" s="200">
        <v>2.1806853582554515</v>
      </c>
      <c r="AD319" s="201">
        <v>61.138613861386141</v>
      </c>
      <c r="AE319" s="200">
        <v>19.059405940594061</v>
      </c>
      <c r="AF319" s="205">
        <v>19.801980198019802</v>
      </c>
    </row>
    <row r="320" spans="1:32" x14ac:dyDescent="0.25">
      <c r="A320" s="199" t="s">
        <v>616</v>
      </c>
      <c r="B320" s="200">
        <v>58.977127711789535</v>
      </c>
      <c r="C320" s="200">
        <v>21.782664179837045</v>
      </c>
      <c r="D320" s="200">
        <v>19.240208108373416</v>
      </c>
      <c r="E320" s="201">
        <v>44.589889373705319</v>
      </c>
      <c r="F320" s="200">
        <v>28.844373925690864</v>
      </c>
      <c r="G320" s="200">
        <v>26.565736700603814</v>
      </c>
      <c r="H320" s="202">
        <v>67.820356628641036</v>
      </c>
      <c r="I320" s="200">
        <v>14.903828404769815</v>
      </c>
      <c r="J320" s="200">
        <v>17.275814966589138</v>
      </c>
      <c r="K320" s="201">
        <v>37.937546057479736</v>
      </c>
      <c r="L320" s="200">
        <v>34.506263817243919</v>
      </c>
      <c r="M320" s="203">
        <v>27.556190125276348</v>
      </c>
      <c r="N320" s="434"/>
      <c r="O320" s="202">
        <v>70.2921905436515</v>
      </c>
      <c r="P320" s="200">
        <v>14.287232158668321</v>
      </c>
      <c r="Q320" s="200">
        <v>15.420577297680186</v>
      </c>
      <c r="R320" s="201">
        <v>35.844610004561353</v>
      </c>
      <c r="S320" s="200">
        <v>38.353352592367344</v>
      </c>
      <c r="T320" s="200">
        <v>25.80203740307131</v>
      </c>
      <c r="U320" s="202">
        <v>67.014084507042242</v>
      </c>
      <c r="V320" s="200">
        <v>16.354929577464787</v>
      </c>
      <c r="W320" s="200">
        <v>16.630985915492957</v>
      </c>
      <c r="X320" s="201">
        <v>46.203554119547654</v>
      </c>
      <c r="Y320" s="200">
        <v>30.836025848142164</v>
      </c>
      <c r="Z320" s="203">
        <v>22.960420032310179</v>
      </c>
      <c r="AA320" s="200">
        <v>61.045304677005738</v>
      </c>
      <c r="AB320" s="204">
        <v>13.884479179386982</v>
      </c>
      <c r="AC320" s="200">
        <v>25.070216143607276</v>
      </c>
      <c r="AD320" s="201">
        <v>34.220743205768159</v>
      </c>
      <c r="AE320" s="200">
        <v>25.513033832501385</v>
      </c>
      <c r="AF320" s="205">
        <v>40.266222961730449</v>
      </c>
    </row>
    <row r="321" spans="1:32" x14ac:dyDescent="0.25">
      <c r="A321" s="199" t="s">
        <v>617</v>
      </c>
      <c r="B321" s="200">
        <v>54.711557523293465</v>
      </c>
      <c r="C321" s="200">
        <v>28.262737064693056</v>
      </c>
      <c r="D321" s="200">
        <v>17.02570541201348</v>
      </c>
      <c r="E321" s="201">
        <v>46.447248995116048</v>
      </c>
      <c r="F321" s="200">
        <v>26.260967281842934</v>
      </c>
      <c r="G321" s="200">
        <v>27.291783723041018</v>
      </c>
      <c r="H321" s="202">
        <v>64.83240611083778</v>
      </c>
      <c r="I321" s="200">
        <v>15.732505771486963</v>
      </c>
      <c r="J321" s="200">
        <v>19.43508811767526</v>
      </c>
      <c r="K321" s="201">
        <v>45.796979571814013</v>
      </c>
      <c r="L321" s="200">
        <v>21.906864290970251</v>
      </c>
      <c r="M321" s="203">
        <v>32.296156137215739</v>
      </c>
      <c r="N321" s="434"/>
      <c r="O321" s="202">
        <v>62.201353077541754</v>
      </c>
      <c r="P321" s="200">
        <v>16.901641671003453</v>
      </c>
      <c r="Q321" s="200">
        <v>20.897005251454797</v>
      </c>
      <c r="R321" s="201">
        <v>47.969306659358729</v>
      </c>
      <c r="S321" s="200">
        <v>18.120032885722114</v>
      </c>
      <c r="T321" s="200">
        <v>33.910660454919153</v>
      </c>
      <c r="U321" s="202">
        <v>65.350697674418598</v>
      </c>
      <c r="V321" s="200">
        <v>15.888372093023257</v>
      </c>
      <c r="W321" s="200">
        <v>18.760930232558142</v>
      </c>
      <c r="X321" s="201">
        <v>51.139203292665002</v>
      </c>
      <c r="Y321" s="200">
        <v>25.665147728943111</v>
      </c>
      <c r="Z321" s="203">
        <v>23.195648978391887</v>
      </c>
      <c r="AA321" s="200">
        <v>74.446640316205531</v>
      </c>
      <c r="AB321" s="204">
        <v>10.434782608695652</v>
      </c>
      <c r="AC321" s="200">
        <v>15.118577075098813</v>
      </c>
      <c r="AD321" s="201">
        <v>24.03322830134632</v>
      </c>
      <c r="AE321" s="200">
        <v>34.374104841019765</v>
      </c>
      <c r="AF321" s="205">
        <v>41.592666857633915</v>
      </c>
    </row>
    <row r="322" spans="1:32" x14ac:dyDescent="0.25">
      <c r="A322" s="199" t="s">
        <v>618</v>
      </c>
      <c r="B322" s="200">
        <v>68.734435136970802</v>
      </c>
      <c r="C322" s="200">
        <v>16.908157874877368</v>
      </c>
      <c r="D322" s="200">
        <v>14.357406988151839</v>
      </c>
      <c r="E322" s="201">
        <v>43.475287251504653</v>
      </c>
      <c r="F322" s="200">
        <v>27.188582892577056</v>
      </c>
      <c r="G322" s="200">
        <v>29.336129855918291</v>
      </c>
      <c r="H322" s="202">
        <v>69.91547210168028</v>
      </c>
      <c r="I322" s="200">
        <v>17.127696769018776</v>
      </c>
      <c r="J322" s="200">
        <v>12.956831129300946</v>
      </c>
      <c r="K322" s="201">
        <v>41.707717569786531</v>
      </c>
      <c r="L322" s="200">
        <v>24.73159024883163</v>
      </c>
      <c r="M322" s="203">
        <v>33.560692181381832</v>
      </c>
      <c r="N322" s="434"/>
      <c r="O322" s="202">
        <v>69.23309521109725</v>
      </c>
      <c r="P322" s="200">
        <v>16.925577351929547</v>
      </c>
      <c r="Q322" s="200">
        <v>13.841327436973202</v>
      </c>
      <c r="R322" s="201">
        <v>43.207150368033645</v>
      </c>
      <c r="S322" s="200">
        <v>24.889589905362776</v>
      </c>
      <c r="T322" s="200">
        <v>31.903259726603579</v>
      </c>
      <c r="U322" s="202">
        <v>69.899429512438985</v>
      </c>
      <c r="V322" s="200">
        <v>17.949773569370112</v>
      </c>
      <c r="W322" s="200">
        <v>12.150796918190908</v>
      </c>
      <c r="X322" s="201">
        <v>50.974797907750833</v>
      </c>
      <c r="Y322" s="200">
        <v>24.203518782691393</v>
      </c>
      <c r="Z322" s="203">
        <v>24.821683309557773</v>
      </c>
      <c r="AA322" s="200">
        <v>73.436592449177155</v>
      </c>
      <c r="AB322" s="204">
        <v>15.469506292352373</v>
      </c>
      <c r="AC322" s="200">
        <v>11.093901258470474</v>
      </c>
      <c r="AD322" s="201">
        <v>16.564417177914109</v>
      </c>
      <c r="AE322" s="200">
        <v>25.058990089664935</v>
      </c>
      <c r="AF322" s="205">
        <v>58.376592732420953</v>
      </c>
    </row>
    <row r="323" spans="1:32" x14ac:dyDescent="0.25">
      <c r="A323" s="199" t="s">
        <v>619</v>
      </c>
      <c r="B323" s="200">
        <v>75.434854634307953</v>
      </c>
      <c r="C323" s="200">
        <v>15.325519754824816</v>
      </c>
      <c r="D323" s="200">
        <v>9.2396256108672254</v>
      </c>
      <c r="E323" s="201">
        <v>52.757840706424808</v>
      </c>
      <c r="F323" s="200">
        <v>22.054025838444474</v>
      </c>
      <c r="G323" s="200">
        <v>25.188133455130711</v>
      </c>
      <c r="H323" s="202">
        <v>72.668757726534324</v>
      </c>
      <c r="I323" s="200">
        <v>15.310031978912308</v>
      </c>
      <c r="J323" s="200">
        <v>12.021210294553368</v>
      </c>
      <c r="K323" s="201">
        <v>60.724533715925396</v>
      </c>
      <c r="L323" s="200">
        <v>20.184720229555236</v>
      </c>
      <c r="M323" s="203">
        <v>19.090746054519371</v>
      </c>
      <c r="N323" s="434"/>
      <c r="O323" s="202">
        <v>79.914303123218744</v>
      </c>
      <c r="P323" s="200">
        <v>10.763213239774357</v>
      </c>
      <c r="Q323" s="200">
        <v>9.3224836370068989</v>
      </c>
      <c r="R323" s="201">
        <v>66.325859491778772</v>
      </c>
      <c r="S323" s="200">
        <v>16.035874439461885</v>
      </c>
      <c r="T323" s="200">
        <v>17.638266068759343</v>
      </c>
      <c r="U323" s="202">
        <v>67.714594854532336</v>
      </c>
      <c r="V323" s="200">
        <v>17.519235393123349</v>
      </c>
      <c r="W323" s="200">
        <v>14.766169752344313</v>
      </c>
      <c r="X323" s="201">
        <v>61.900966424230354</v>
      </c>
      <c r="Y323" s="200">
        <v>19.079406197070838</v>
      </c>
      <c r="Z323" s="203">
        <v>19.019627378698814</v>
      </c>
      <c r="AA323" s="200">
        <v>57.827638959714434</v>
      </c>
      <c r="AB323" s="204">
        <v>26.80847963866832</v>
      </c>
      <c r="AC323" s="200">
        <v>15.363881401617252</v>
      </c>
      <c r="AD323" s="201">
        <v>44.957418198117438</v>
      </c>
      <c r="AE323" s="200">
        <v>32.212759599581652</v>
      </c>
      <c r="AF323" s="205">
        <v>22.82982220230091</v>
      </c>
    </row>
    <row r="324" spans="1:32" x14ac:dyDescent="0.25">
      <c r="A324" s="199" t="s">
        <v>620</v>
      </c>
      <c r="B324" s="200">
        <v>67.89272980567165</v>
      </c>
      <c r="C324" s="200">
        <v>21.730891832542326</v>
      </c>
      <c r="D324" s="200">
        <v>10.376378361786026</v>
      </c>
      <c r="E324" s="201">
        <v>55.690241109931279</v>
      </c>
      <c r="F324" s="200">
        <v>23.821515822595845</v>
      </c>
      <c r="G324" s="200">
        <v>20.488243067472876</v>
      </c>
      <c r="H324" s="202">
        <v>68.467458186729814</v>
      </c>
      <c r="I324" s="200">
        <v>18.016183361403392</v>
      </c>
      <c r="J324" s="200">
        <v>13.516358451866797</v>
      </c>
      <c r="K324" s="201">
        <v>47.01994867008866</v>
      </c>
      <c r="L324" s="200">
        <v>24.956252916472234</v>
      </c>
      <c r="M324" s="203">
        <v>28.023798413439106</v>
      </c>
      <c r="N324" s="434"/>
      <c r="O324" s="202">
        <v>69.475528775209057</v>
      </c>
      <c r="P324" s="200">
        <v>18.317893643766737</v>
      </c>
      <c r="Q324" s="200">
        <v>12.206577581024211</v>
      </c>
      <c r="R324" s="201">
        <v>51.548077934748306</v>
      </c>
      <c r="S324" s="200">
        <v>23.912232541679021</v>
      </c>
      <c r="T324" s="200">
        <v>24.539689523572676</v>
      </c>
      <c r="U324" s="202">
        <v>66.314880759684897</v>
      </c>
      <c r="V324" s="200">
        <v>18.759037444696233</v>
      </c>
      <c r="W324" s="200">
        <v>14.926081795618861</v>
      </c>
      <c r="X324" s="201">
        <v>44.254597924921555</v>
      </c>
      <c r="Y324" s="200">
        <v>26.996633150866906</v>
      </c>
      <c r="Z324" s="203">
        <v>28.748768924211536</v>
      </c>
      <c r="AA324" s="200">
        <v>68.552974268152937</v>
      </c>
      <c r="AB324" s="204">
        <v>14.024377539327013</v>
      </c>
      <c r="AC324" s="200">
        <v>17.422648192520054</v>
      </c>
      <c r="AD324" s="201">
        <v>31.838140335772707</v>
      </c>
      <c r="AE324" s="200">
        <v>25.820060266896256</v>
      </c>
      <c r="AF324" s="205">
        <v>42.341799397331037</v>
      </c>
    </row>
    <row r="325" spans="1:32" x14ac:dyDescent="0.25">
      <c r="A325" s="199" t="s">
        <v>621</v>
      </c>
      <c r="B325" s="200">
        <v>60.317803480704789</v>
      </c>
      <c r="C325" s="200">
        <v>16.46308507188412</v>
      </c>
      <c r="D325" s="200">
        <v>23.219111447411088</v>
      </c>
      <c r="E325" s="201">
        <v>24.205411084843711</v>
      </c>
      <c r="F325" s="200">
        <v>40.215392697662203</v>
      </c>
      <c r="G325" s="200">
        <v>35.579196217494093</v>
      </c>
      <c r="H325" s="202">
        <v>70.52336775774549</v>
      </c>
      <c r="I325" s="200">
        <v>16.001517007993467</v>
      </c>
      <c r="J325" s="200">
        <v>13.475115234261043</v>
      </c>
      <c r="K325" s="201">
        <v>31.920071730498272</v>
      </c>
      <c r="L325" s="200">
        <v>31.343665940822341</v>
      </c>
      <c r="M325" s="203">
        <v>36.736262328679395</v>
      </c>
      <c r="N325" s="434"/>
      <c r="O325" s="202">
        <v>68.517238731475089</v>
      </c>
      <c r="P325" s="200">
        <v>11.61022805805114</v>
      </c>
      <c r="Q325" s="200">
        <v>19.87253321047378</v>
      </c>
      <c r="R325" s="201">
        <v>23.425572519083971</v>
      </c>
      <c r="S325" s="200">
        <v>35.281488549618324</v>
      </c>
      <c r="T325" s="200">
        <v>41.292938931297712</v>
      </c>
      <c r="U325" s="202">
        <v>72.193911760761694</v>
      </c>
      <c r="V325" s="200">
        <v>21.033927853024004</v>
      </c>
      <c r="W325" s="200">
        <v>6.7721603862142956</v>
      </c>
      <c r="X325" s="201">
        <v>45.693656523981439</v>
      </c>
      <c r="Y325" s="200">
        <v>24.290871583290354</v>
      </c>
      <c r="Z325" s="203">
        <v>30.015471892728211</v>
      </c>
      <c r="AA325" s="200">
        <v>70.71439835988015</v>
      </c>
      <c r="AB325" s="204">
        <v>13.184040372181045</v>
      </c>
      <c r="AC325" s="200">
        <v>16.101561267938809</v>
      </c>
      <c r="AD325" s="201">
        <v>37.231503579952268</v>
      </c>
      <c r="AE325" s="200">
        <v>29.653937947494036</v>
      </c>
      <c r="AF325" s="205">
        <v>33.114558472553703</v>
      </c>
    </row>
    <row r="326" spans="1:32" x14ac:dyDescent="0.25">
      <c r="A326" s="199" t="s">
        <v>622</v>
      </c>
      <c r="B326" s="200">
        <v>68.91578249336871</v>
      </c>
      <c r="C326" s="200">
        <v>16.296419098143236</v>
      </c>
      <c r="D326" s="200">
        <v>14.787798408488065</v>
      </c>
      <c r="E326" s="201">
        <v>47.040690505548703</v>
      </c>
      <c r="F326" s="200">
        <v>25.318536785861077</v>
      </c>
      <c r="G326" s="200">
        <v>27.640772708590216</v>
      </c>
      <c r="H326" s="202">
        <v>73.727140482128021</v>
      </c>
      <c r="I326" s="200">
        <v>13.461138819617622</v>
      </c>
      <c r="J326" s="200">
        <v>12.811720698254364</v>
      </c>
      <c r="K326" s="201">
        <v>51.460105771441711</v>
      </c>
      <c r="L326" s="200">
        <v>25.661071510692114</v>
      </c>
      <c r="M326" s="203">
        <v>22.878822717866175</v>
      </c>
      <c r="N326" s="434"/>
      <c r="O326" s="202">
        <v>72.82245165042896</v>
      </c>
      <c r="P326" s="200">
        <v>16.082594154427802</v>
      </c>
      <c r="Q326" s="200">
        <v>11.094954195143231</v>
      </c>
      <c r="R326" s="201">
        <v>64.931237721021603</v>
      </c>
      <c r="S326" s="200">
        <v>19.990176817288802</v>
      </c>
      <c r="T326" s="200">
        <v>15.078585461689586</v>
      </c>
      <c r="U326" s="202">
        <v>74.104948167147583</v>
      </c>
      <c r="V326" s="200">
        <v>11.937586833386769</v>
      </c>
      <c r="W326" s="200">
        <v>13.957464999465641</v>
      </c>
      <c r="X326" s="201">
        <v>42.601194426011944</v>
      </c>
      <c r="Y326" s="200">
        <v>36.828135368281359</v>
      </c>
      <c r="Z326" s="203">
        <v>20.570670205706701</v>
      </c>
      <c r="AA326" s="200">
        <v>74.618447246184473</v>
      </c>
      <c r="AB326" s="204">
        <v>12.209688122096882</v>
      </c>
      <c r="AC326" s="200">
        <v>13.171864631718647</v>
      </c>
      <c r="AD326" s="201">
        <v>33.913043478260867</v>
      </c>
      <c r="AE326" s="200">
        <v>19.130434782608695</v>
      </c>
      <c r="AF326" s="205">
        <v>46.956521739130437</v>
      </c>
    </row>
    <row r="327" spans="1:32" x14ac:dyDescent="0.25">
      <c r="A327" s="199" t="s">
        <v>623</v>
      </c>
      <c r="B327" s="200">
        <v>84.607620489528131</v>
      </c>
      <c r="C327" s="200">
        <v>14.618554966776012</v>
      </c>
      <c r="D327" s="200">
        <v>0.7738245436958533</v>
      </c>
      <c r="E327" s="201">
        <v>72.529465095194922</v>
      </c>
      <c r="F327" s="200">
        <v>12.715321849501359</v>
      </c>
      <c r="G327" s="200">
        <v>14.755213055303717</v>
      </c>
      <c r="H327" s="202">
        <v>76.944999999999993</v>
      </c>
      <c r="I327" s="200">
        <v>11.015000000000001</v>
      </c>
      <c r="J327" s="200">
        <v>12.04</v>
      </c>
      <c r="K327" s="201">
        <v>60.185185185185183</v>
      </c>
      <c r="L327" s="200">
        <v>12.777777777777777</v>
      </c>
      <c r="M327" s="203">
        <v>27.037037037037038</v>
      </c>
      <c r="N327" s="434"/>
      <c r="O327" s="202">
        <v>80.451987337319736</v>
      </c>
      <c r="P327" s="200">
        <v>11.035877594090749</v>
      </c>
      <c r="Q327" s="200">
        <v>8.5121350685895187</v>
      </c>
      <c r="R327" s="201">
        <v>61.480865224625624</v>
      </c>
      <c r="S327" s="200">
        <v>11.120354963948973</v>
      </c>
      <c r="T327" s="200">
        <v>27.398779811425399</v>
      </c>
      <c r="U327" s="202">
        <v>72.994451941820358</v>
      </c>
      <c r="V327" s="200">
        <v>11.920827710301394</v>
      </c>
      <c r="W327" s="200">
        <v>15.084720347878241</v>
      </c>
      <c r="X327" s="201">
        <v>53.071500503524675</v>
      </c>
      <c r="Y327" s="200">
        <v>26.988922457200403</v>
      </c>
      <c r="Z327" s="203">
        <v>19.939577039274926</v>
      </c>
      <c r="AA327" s="200">
        <v>70.035732516590102</v>
      </c>
      <c r="AB327" s="204">
        <v>7.8101071975497707</v>
      </c>
      <c r="AC327" s="200">
        <v>22.154160285860133</v>
      </c>
      <c r="AD327" s="201">
        <v>61.96868008948546</v>
      </c>
      <c r="AE327" s="200">
        <v>6.7114093959731544</v>
      </c>
      <c r="AF327" s="205">
        <v>31.319910514541387</v>
      </c>
    </row>
    <row r="328" spans="1:32" x14ac:dyDescent="0.25">
      <c r="A328" s="199" t="s">
        <v>624</v>
      </c>
      <c r="B328" s="200">
        <v>74.7137834670513</v>
      </c>
      <c r="C328" s="200">
        <v>9.6367078337690444</v>
      </c>
      <c r="D328" s="200">
        <v>15.649508699179663</v>
      </c>
      <c r="E328" s="201">
        <v>56.323883251386128</v>
      </c>
      <c r="F328" s="200">
        <v>26.509049063709593</v>
      </c>
      <c r="G328" s="200">
        <v>17.167067684904278</v>
      </c>
      <c r="H328" s="202">
        <v>76.665558668502769</v>
      </c>
      <c r="I328" s="200">
        <v>13.428937746331734</v>
      </c>
      <c r="J328" s="200">
        <v>9.9055035851654871</v>
      </c>
      <c r="K328" s="201">
        <v>57.827219883744242</v>
      </c>
      <c r="L328" s="200">
        <v>27.961515333734216</v>
      </c>
      <c r="M328" s="203">
        <v>14.21126478252155</v>
      </c>
      <c r="N328" s="434"/>
      <c r="O328" s="202">
        <v>77.160272499103627</v>
      </c>
      <c r="P328" s="200">
        <v>11.912871997131589</v>
      </c>
      <c r="Q328" s="200">
        <v>10.92685550376479</v>
      </c>
      <c r="R328" s="201">
        <v>56.136680613668069</v>
      </c>
      <c r="S328" s="200">
        <v>24.05857740585774</v>
      </c>
      <c r="T328" s="200">
        <v>19.804741980474198</v>
      </c>
      <c r="U328" s="202">
        <v>77.345270533281436</v>
      </c>
      <c r="V328" s="200">
        <v>14.298689503049175</v>
      </c>
      <c r="W328" s="200">
        <v>8.3560399636693905</v>
      </c>
      <c r="X328" s="201">
        <v>61.217681401167646</v>
      </c>
      <c r="Y328" s="200">
        <v>32.777314428690573</v>
      </c>
      <c r="Z328" s="203">
        <v>6.0050041701417847</v>
      </c>
      <c r="AA328" s="200">
        <v>71.734182976786528</v>
      </c>
      <c r="AB328" s="204">
        <v>18.115612198452435</v>
      </c>
      <c r="AC328" s="200">
        <v>10.150204824761037</v>
      </c>
      <c r="AD328" s="201">
        <v>58.613217768147344</v>
      </c>
      <c r="AE328" s="200">
        <v>33.911159263271941</v>
      </c>
      <c r="AF328" s="205">
        <v>7.4756229685807156</v>
      </c>
    </row>
    <row r="329" spans="1:32" x14ac:dyDescent="0.25">
      <c r="A329" s="199" t="s">
        <v>625</v>
      </c>
      <c r="B329" s="200">
        <v>80.456213948610383</v>
      </c>
      <c r="C329" s="200">
        <v>11.502359727320398</v>
      </c>
      <c r="D329" s="200">
        <v>8.041426324069219</v>
      </c>
      <c r="E329" s="201">
        <v>57.345437830383815</v>
      </c>
      <c r="F329" s="200">
        <v>21.677775224086417</v>
      </c>
      <c r="G329" s="200">
        <v>20.976786945529764</v>
      </c>
      <c r="H329" s="202">
        <v>85.156585156585152</v>
      </c>
      <c r="I329" s="200">
        <v>9.0016124498883112</v>
      </c>
      <c r="J329" s="200">
        <v>5.8418023935265317</v>
      </c>
      <c r="K329" s="201">
        <v>48.742216687422172</v>
      </c>
      <c r="L329" s="200">
        <v>20.189290161892899</v>
      </c>
      <c r="M329" s="203">
        <v>31.068493150684933</v>
      </c>
      <c r="N329" s="434"/>
      <c r="O329" s="202">
        <v>83.683538919608679</v>
      </c>
      <c r="P329" s="200">
        <v>8.563731745356586</v>
      </c>
      <c r="Q329" s="200">
        <v>7.7527293350347373</v>
      </c>
      <c r="R329" s="201">
        <v>50.159143518518526</v>
      </c>
      <c r="S329" s="200">
        <v>19.86400462962963</v>
      </c>
      <c r="T329" s="200">
        <v>29.976851851851855</v>
      </c>
      <c r="U329" s="202">
        <v>86.254897057597731</v>
      </c>
      <c r="V329" s="200">
        <v>9.6982578978077854</v>
      </c>
      <c r="W329" s="200">
        <v>4.0468450445944821</v>
      </c>
      <c r="X329" s="201">
        <v>57.098422572761606</v>
      </c>
      <c r="Y329" s="200">
        <v>20.639857809375695</v>
      </c>
      <c r="Z329" s="203">
        <v>22.261719617862695</v>
      </c>
      <c r="AA329" s="200">
        <v>88.235999520326175</v>
      </c>
      <c r="AB329" s="204">
        <v>8.8379901666866534</v>
      </c>
      <c r="AC329" s="200">
        <v>2.9260103129871688</v>
      </c>
      <c r="AD329" s="201">
        <v>16.009148084619781</v>
      </c>
      <c r="AE329" s="200">
        <v>21.612349914236706</v>
      </c>
      <c r="AF329" s="205">
        <v>62.378502001143509</v>
      </c>
    </row>
    <row r="330" spans="1:32" x14ac:dyDescent="0.25">
      <c r="A330" s="199" t="s">
        <v>626</v>
      </c>
      <c r="B330" s="200">
        <v>81.390362261595754</v>
      </c>
      <c r="C330" s="200">
        <v>9.1750366775758945</v>
      </c>
      <c r="D330" s="200">
        <v>9.4346010608283493</v>
      </c>
      <c r="E330" s="201">
        <v>65.428697377121452</v>
      </c>
      <c r="F330" s="200">
        <v>14.965836455807802</v>
      </c>
      <c r="G330" s="200">
        <v>19.605466167070752</v>
      </c>
      <c r="H330" s="202">
        <v>75.866748380318683</v>
      </c>
      <c r="I330" s="200">
        <v>15.084923831202943</v>
      </c>
      <c r="J330" s="200">
        <v>9.0483277884783746</v>
      </c>
      <c r="K330" s="201">
        <v>49.085985104942452</v>
      </c>
      <c r="L330" s="200">
        <v>19.593771157752201</v>
      </c>
      <c r="M330" s="203">
        <v>31.320243737305347</v>
      </c>
      <c r="N330" s="434"/>
      <c r="O330" s="202">
        <v>79.561617145640525</v>
      </c>
      <c r="P330" s="200">
        <v>12.810521188504628</v>
      </c>
      <c r="Q330" s="200">
        <v>7.6278616658548462</v>
      </c>
      <c r="R330" s="201">
        <v>56.846361185983831</v>
      </c>
      <c r="S330" s="200">
        <v>12.021563342318059</v>
      </c>
      <c r="T330" s="200">
        <v>31.132075471698112</v>
      </c>
      <c r="U330" s="202">
        <v>74.138106376487329</v>
      </c>
      <c r="V330" s="200">
        <v>16.007322282111257</v>
      </c>
      <c r="W330" s="200">
        <v>9.8545713414014031</v>
      </c>
      <c r="X330" s="201">
        <v>42.17405164169589</v>
      </c>
      <c r="Y330" s="200">
        <v>27.319094676442461</v>
      </c>
      <c r="Z330" s="203">
        <v>30.506853681861649</v>
      </c>
      <c r="AA330" s="200">
        <v>68.219876228613032</v>
      </c>
      <c r="AB330" s="204">
        <v>20.313068802329816</v>
      </c>
      <c r="AC330" s="200">
        <v>11.467054969057152</v>
      </c>
      <c r="AD330" s="201">
        <v>35.87360594795539</v>
      </c>
      <c r="AE330" s="200">
        <v>26.765799256505574</v>
      </c>
      <c r="AF330" s="205">
        <v>37.360594795539029</v>
      </c>
    </row>
    <row r="331" spans="1:32" x14ac:dyDescent="0.25">
      <c r="A331" s="199" t="s">
        <v>627</v>
      </c>
      <c r="B331" s="200">
        <v>79.652184096498431</v>
      </c>
      <c r="C331" s="200">
        <v>10.832650193231059</v>
      </c>
      <c r="D331" s="200">
        <v>9.5151657102705229</v>
      </c>
      <c r="E331" s="201">
        <v>54.334573667959788</v>
      </c>
      <c r="F331" s="200">
        <v>23.133560288179876</v>
      </c>
      <c r="G331" s="200">
        <v>22.531866043860344</v>
      </c>
      <c r="H331" s="202">
        <v>81.118173938168155</v>
      </c>
      <c r="I331" s="200">
        <v>13.370413175382836</v>
      </c>
      <c r="J331" s="200">
        <v>5.5114128864490031</v>
      </c>
      <c r="K331" s="201">
        <v>42.048517520215633</v>
      </c>
      <c r="L331" s="200">
        <v>31.140003171079755</v>
      </c>
      <c r="M331" s="203">
        <v>26.811479308704616</v>
      </c>
      <c r="N331" s="434"/>
      <c r="O331" s="202">
        <v>79.94982753214174</v>
      </c>
      <c r="P331" s="200">
        <v>14.424584509250549</v>
      </c>
      <c r="Q331" s="200">
        <v>5.6255879586077135</v>
      </c>
      <c r="R331" s="201">
        <v>43.254437869822489</v>
      </c>
      <c r="S331" s="200">
        <v>43.491124260355029</v>
      </c>
      <c r="T331" s="200">
        <v>13.254437869822485</v>
      </c>
      <c r="U331" s="202">
        <v>89.416323565027852</v>
      </c>
      <c r="V331" s="200">
        <v>7.4836522160329375</v>
      </c>
      <c r="W331" s="200">
        <v>3.1000242189392102</v>
      </c>
      <c r="X331" s="201">
        <v>50.276625172890732</v>
      </c>
      <c r="Y331" s="200">
        <v>20.331950207468878</v>
      </c>
      <c r="Z331" s="203">
        <v>29.391424619640389</v>
      </c>
      <c r="AA331" s="200">
        <v>66.771879483500712</v>
      </c>
      <c r="AB331" s="204">
        <v>22.525107604017215</v>
      </c>
      <c r="AC331" s="200">
        <v>10.703012912482066</v>
      </c>
      <c r="AD331" s="201">
        <v>31.287929871881321</v>
      </c>
      <c r="AE331" s="200">
        <v>13.553607552258933</v>
      </c>
      <c r="AF331" s="205">
        <v>55.158462575859744</v>
      </c>
    </row>
    <row r="332" spans="1:32" x14ac:dyDescent="0.25">
      <c r="A332" s="199" t="s">
        <v>628</v>
      </c>
      <c r="B332" s="200">
        <v>80.268440047037842</v>
      </c>
      <c r="C332" s="200">
        <v>12.505575605206602</v>
      </c>
      <c r="D332" s="200">
        <v>7.2259843477555652</v>
      </c>
      <c r="E332" s="201">
        <v>58.339924422181213</v>
      </c>
      <c r="F332" s="200">
        <v>27.032252394762281</v>
      </c>
      <c r="G332" s="200">
        <v>14.627823183056506</v>
      </c>
      <c r="H332" s="202">
        <v>81.07437015503875</v>
      </c>
      <c r="I332" s="200">
        <v>8.191012596899224</v>
      </c>
      <c r="J332" s="200">
        <v>10.734617248062015</v>
      </c>
      <c r="K332" s="201">
        <v>49.61367587405833</v>
      </c>
      <c r="L332" s="200">
        <v>22.677226192775741</v>
      </c>
      <c r="M332" s="203">
        <v>27.709097933165928</v>
      </c>
      <c r="N332" s="434"/>
      <c r="O332" s="202">
        <v>82.7600141435571</v>
      </c>
      <c r="P332" s="200">
        <v>8.8700308127494054</v>
      </c>
      <c r="Q332" s="200">
        <v>8.3699550436934889</v>
      </c>
      <c r="R332" s="201">
        <v>54.543968617195162</v>
      </c>
      <c r="S332" s="200">
        <v>16.230794377247467</v>
      </c>
      <c r="T332" s="200">
        <v>29.225237005557368</v>
      </c>
      <c r="U332" s="202">
        <v>82.052864342281183</v>
      </c>
      <c r="V332" s="200">
        <v>9.1021289725393402</v>
      </c>
      <c r="W332" s="200">
        <v>8.845006685179472</v>
      </c>
      <c r="X332" s="201">
        <v>34.557823129251702</v>
      </c>
      <c r="Y332" s="200">
        <v>56.4625850340136</v>
      </c>
      <c r="Z332" s="203">
        <v>8.9795918367346932</v>
      </c>
      <c r="AA332" s="200">
        <v>68.81597717546363</v>
      </c>
      <c r="AB332" s="204">
        <v>1.8259629101283881</v>
      </c>
      <c r="AC332" s="200">
        <v>29.358059914407992</v>
      </c>
      <c r="AD332" s="201">
        <v>46.710050614605933</v>
      </c>
      <c r="AE332" s="200">
        <v>18.980477223427332</v>
      </c>
      <c r="AF332" s="205">
        <v>34.309472161966738</v>
      </c>
    </row>
    <row r="333" spans="1:32" x14ac:dyDescent="0.25">
      <c r="A333" s="199" t="s">
        <v>629</v>
      </c>
      <c r="B333" s="200">
        <v>77.345361618276414</v>
      </c>
      <c r="C333" s="200">
        <v>11.465870254626067</v>
      </c>
      <c r="D333" s="200">
        <v>11.188768127097509</v>
      </c>
      <c r="E333" s="201">
        <v>53.098784454716665</v>
      </c>
      <c r="F333" s="200">
        <v>18.156137647663069</v>
      </c>
      <c r="G333" s="200">
        <v>28.74507789762027</v>
      </c>
      <c r="H333" s="202">
        <v>75.689153877295638</v>
      </c>
      <c r="I333" s="200">
        <v>13.893489382061757</v>
      </c>
      <c r="J333" s="200">
        <v>10.417356740642598</v>
      </c>
      <c r="K333" s="201">
        <v>55.763123482159536</v>
      </c>
      <c r="L333" s="200">
        <v>24.724453577433213</v>
      </c>
      <c r="M333" s="203">
        <v>19.512422940407248</v>
      </c>
      <c r="N333" s="434"/>
      <c r="O333" s="202">
        <v>74.968084061671419</v>
      </c>
      <c r="P333" s="200">
        <v>15.345837834298996</v>
      </c>
      <c r="Q333" s="200">
        <v>9.6860781040295905</v>
      </c>
      <c r="R333" s="201">
        <v>51.090047393364927</v>
      </c>
      <c r="S333" s="200">
        <v>25.039494470774095</v>
      </c>
      <c r="T333" s="200">
        <v>23.870458135860982</v>
      </c>
      <c r="U333" s="202">
        <v>74.012131205464925</v>
      </c>
      <c r="V333" s="200">
        <v>13.668217419468817</v>
      </c>
      <c r="W333" s="200">
        <v>12.31965137506625</v>
      </c>
      <c r="X333" s="201">
        <v>66.416577349053227</v>
      </c>
      <c r="Y333" s="200">
        <v>22.007859949982137</v>
      </c>
      <c r="Z333" s="203">
        <v>11.57556270096463</v>
      </c>
      <c r="AA333" s="200">
        <v>83.115548377624421</v>
      </c>
      <c r="AB333" s="204">
        <v>7.9283511965937459</v>
      </c>
      <c r="AC333" s="200">
        <v>8.9561004257818233</v>
      </c>
      <c r="AD333" s="201">
        <v>55.583756345177662</v>
      </c>
      <c r="AE333" s="200">
        <v>28.299492385786802</v>
      </c>
      <c r="AF333" s="205">
        <v>16.116751269035532</v>
      </c>
    </row>
    <row r="334" spans="1:32" x14ac:dyDescent="0.25">
      <c r="A334" s="199" t="s">
        <v>630</v>
      </c>
      <c r="B334" s="200">
        <v>77.061031558459618</v>
      </c>
      <c r="C334" s="200">
        <v>15.250938412345336</v>
      </c>
      <c r="D334" s="200">
        <v>7.6880300291950503</v>
      </c>
      <c r="E334" s="201">
        <v>51.385959068872353</v>
      </c>
      <c r="F334" s="200">
        <v>20.772732319307206</v>
      </c>
      <c r="G334" s="200">
        <v>27.841308611820438</v>
      </c>
      <c r="H334" s="202">
        <v>82.061517693568604</v>
      </c>
      <c r="I334" s="200">
        <v>10.093530035676405</v>
      </c>
      <c r="J334" s="200">
        <v>7.8449522707549901</v>
      </c>
      <c r="K334" s="201">
        <v>56.257388954568491</v>
      </c>
      <c r="L334" s="200">
        <v>19.126836682992739</v>
      </c>
      <c r="M334" s="203">
        <v>24.615774362438778</v>
      </c>
      <c r="N334" s="434"/>
      <c r="O334" s="202">
        <v>80.986161587922851</v>
      </c>
      <c r="P334" s="200">
        <v>10.89250768800671</v>
      </c>
      <c r="Q334" s="200">
        <v>8.1213307240704502</v>
      </c>
      <c r="R334" s="201">
        <v>53.118971061093248</v>
      </c>
      <c r="S334" s="200">
        <v>26.829581993569128</v>
      </c>
      <c r="T334" s="200">
        <v>20.05144694533762</v>
      </c>
      <c r="U334" s="202">
        <v>82.151701894833835</v>
      </c>
      <c r="V334" s="200">
        <v>10.873696941772735</v>
      </c>
      <c r="W334" s="200">
        <v>6.9746011633934222</v>
      </c>
      <c r="X334" s="201">
        <v>63.235294117647058</v>
      </c>
      <c r="Y334" s="200">
        <v>4.9264705882352944</v>
      </c>
      <c r="Z334" s="203">
        <v>31.838235294117645</v>
      </c>
      <c r="AA334" s="200">
        <v>87.031994554118455</v>
      </c>
      <c r="AB334" s="204">
        <v>3.8972089857045611</v>
      </c>
      <c r="AC334" s="200">
        <v>9.0707964601769913</v>
      </c>
      <c r="AD334" s="201">
        <v>60.28210838901262</v>
      </c>
      <c r="AE334" s="200">
        <v>3.3407572383073498</v>
      </c>
      <c r="AF334" s="205">
        <v>36.377134372680032</v>
      </c>
    </row>
    <row r="335" spans="1:32" x14ac:dyDescent="0.25">
      <c r="A335" s="199" t="s">
        <v>631</v>
      </c>
      <c r="B335" s="200">
        <v>72.803774897799428</v>
      </c>
      <c r="C335" s="200">
        <v>18.289553796642601</v>
      </c>
      <c r="D335" s="200">
        <v>8.9066713055579712</v>
      </c>
      <c r="E335" s="201">
        <v>50.127146208283236</v>
      </c>
      <c r="F335" s="200">
        <v>22.913915117585599</v>
      </c>
      <c r="G335" s="200">
        <v>26.958938674131165</v>
      </c>
      <c r="H335" s="202">
        <v>71.350383458900637</v>
      </c>
      <c r="I335" s="200">
        <v>16.750565897496536</v>
      </c>
      <c r="J335" s="200">
        <v>11.899050643602825</v>
      </c>
      <c r="K335" s="201">
        <v>40.790471855560611</v>
      </c>
      <c r="L335" s="200">
        <v>27.571688666363219</v>
      </c>
      <c r="M335" s="203">
        <v>31.637839478076163</v>
      </c>
      <c r="N335" s="434"/>
      <c r="O335" s="202">
        <v>72.058936974465794</v>
      </c>
      <c r="P335" s="200">
        <v>17.31659338116177</v>
      </c>
      <c r="Q335" s="200">
        <v>10.624469644372445</v>
      </c>
      <c r="R335" s="201">
        <v>43.913435527502251</v>
      </c>
      <c r="S335" s="200">
        <v>22.327807449538739</v>
      </c>
      <c r="T335" s="200">
        <v>33.75875702295901</v>
      </c>
      <c r="U335" s="202">
        <v>70.463201421886907</v>
      </c>
      <c r="V335" s="200">
        <v>17.000979360876347</v>
      </c>
      <c r="W335" s="200">
        <v>12.535819217236751</v>
      </c>
      <c r="X335" s="201">
        <v>40.636962180370539</v>
      </c>
      <c r="Y335" s="200">
        <v>31.863420609401317</v>
      </c>
      <c r="Z335" s="203">
        <v>27.499617210228145</v>
      </c>
      <c r="AA335" s="200">
        <v>70.037333333333322</v>
      </c>
      <c r="AB335" s="204">
        <v>12.885333333333332</v>
      </c>
      <c r="AC335" s="200">
        <v>17.077333333333332</v>
      </c>
      <c r="AD335" s="201">
        <v>32.650046168051709</v>
      </c>
      <c r="AE335" s="200">
        <v>36.380424746075718</v>
      </c>
      <c r="AF335" s="205">
        <v>30.969529085872576</v>
      </c>
    </row>
    <row r="336" spans="1:32" x14ac:dyDescent="0.25">
      <c r="A336" s="199" t="s">
        <v>632</v>
      </c>
      <c r="B336" s="200">
        <v>87.447371847736449</v>
      </c>
      <c r="C336" s="200">
        <v>7.9170102869048131</v>
      </c>
      <c r="D336" s="200">
        <v>4.6356178653587401</v>
      </c>
      <c r="E336" s="201">
        <v>48.238897396630939</v>
      </c>
      <c r="F336" s="200">
        <v>23.021949974476776</v>
      </c>
      <c r="G336" s="200">
        <v>28.739152628892288</v>
      </c>
      <c r="H336" s="202">
        <v>84.773735581189001</v>
      </c>
      <c r="I336" s="200">
        <v>9.6209912536443145</v>
      </c>
      <c r="J336" s="200">
        <v>5.6052731651666878</v>
      </c>
      <c r="K336" s="201">
        <v>62.180897887323937</v>
      </c>
      <c r="L336" s="200">
        <v>18.199823943661972</v>
      </c>
      <c r="M336" s="203">
        <v>19.619278169014084</v>
      </c>
      <c r="N336" s="434"/>
      <c r="O336" s="202">
        <v>86.207341739467225</v>
      </c>
      <c r="P336" s="200">
        <v>8.8350475534707584</v>
      </c>
      <c r="Q336" s="200">
        <v>4.9576107070620132</v>
      </c>
      <c r="R336" s="201">
        <v>71.539225422045689</v>
      </c>
      <c r="S336" s="200">
        <v>11.59880834160874</v>
      </c>
      <c r="T336" s="200">
        <v>16.86196623634558</v>
      </c>
      <c r="U336" s="202">
        <v>86.239256270829685</v>
      </c>
      <c r="V336" s="200">
        <v>9.1738291527802129</v>
      </c>
      <c r="W336" s="200">
        <v>4.5869145763901065</v>
      </c>
      <c r="X336" s="201">
        <v>49.808575803981626</v>
      </c>
      <c r="Y336" s="200">
        <v>22.664624808575802</v>
      </c>
      <c r="Z336" s="203">
        <v>27.526799387442573</v>
      </c>
      <c r="AA336" s="200">
        <v>74.375520399666939</v>
      </c>
      <c r="AB336" s="204">
        <v>14.467110741049124</v>
      </c>
      <c r="AC336" s="200">
        <v>11.157368859283929</v>
      </c>
      <c r="AD336" s="201">
        <v>51.872399445214981</v>
      </c>
      <c r="AE336" s="200">
        <v>33.217753120665741</v>
      </c>
      <c r="AF336" s="205">
        <v>14.909847434119278</v>
      </c>
    </row>
    <row r="337" spans="1:32" x14ac:dyDescent="0.25">
      <c r="A337" s="199" t="s">
        <v>633</v>
      </c>
      <c r="B337" s="200">
        <v>72.116716310307538</v>
      </c>
      <c r="C337" s="200">
        <v>17.315828416399476</v>
      </c>
      <c r="D337" s="200">
        <v>10.567455273292985</v>
      </c>
      <c r="E337" s="201">
        <v>47.6179986783347</v>
      </c>
      <c r="F337" s="200">
        <v>21.677313414902777</v>
      </c>
      <c r="G337" s="200">
        <v>30.704687906762523</v>
      </c>
      <c r="H337" s="202">
        <v>74.046993181657953</v>
      </c>
      <c r="I337" s="200">
        <v>14.440382310582025</v>
      </c>
      <c r="J337" s="200">
        <v>11.51262450776002</v>
      </c>
      <c r="K337" s="201">
        <v>47.312065960213594</v>
      </c>
      <c r="L337" s="200">
        <v>23.985280690590155</v>
      </c>
      <c r="M337" s="203">
        <v>28.70265334919625</v>
      </c>
      <c r="N337" s="434"/>
      <c r="O337" s="202">
        <v>78.118941577154828</v>
      </c>
      <c r="P337" s="200">
        <v>12.267924198759934</v>
      </c>
      <c r="Q337" s="200">
        <v>9.6131342240852327</v>
      </c>
      <c r="R337" s="201">
        <v>44.874841972187106</v>
      </c>
      <c r="S337" s="200">
        <v>22.538558786346396</v>
      </c>
      <c r="T337" s="200">
        <v>32.586599241466494</v>
      </c>
      <c r="U337" s="202">
        <v>71.518058138396796</v>
      </c>
      <c r="V337" s="200">
        <v>15.147956021010733</v>
      </c>
      <c r="W337" s="200">
        <v>13.333985840592478</v>
      </c>
      <c r="X337" s="201">
        <v>52.130996309963095</v>
      </c>
      <c r="Y337" s="200">
        <v>26.190036900369002</v>
      </c>
      <c r="Z337" s="203">
        <v>21.678966789667896</v>
      </c>
      <c r="AA337" s="200">
        <v>60.38116985772001</v>
      </c>
      <c r="AB337" s="204">
        <v>23.449850693834534</v>
      </c>
      <c r="AC337" s="200">
        <v>16.168979448445459</v>
      </c>
      <c r="AD337" s="201">
        <v>46.581041968162083</v>
      </c>
      <c r="AE337" s="200">
        <v>24.837192474674385</v>
      </c>
      <c r="AF337" s="205">
        <v>28.581765557163529</v>
      </c>
    </row>
    <row r="338" spans="1:32" x14ac:dyDescent="0.25">
      <c r="A338" s="199" t="s">
        <v>634</v>
      </c>
      <c r="B338" s="200">
        <v>78.302313943235717</v>
      </c>
      <c r="C338" s="200">
        <v>12.923289564616447</v>
      </c>
      <c r="D338" s="200">
        <v>8.7743964921478437</v>
      </c>
      <c r="E338" s="201">
        <v>51.792253911885474</v>
      </c>
      <c r="F338" s="200">
        <v>22.734435689712573</v>
      </c>
      <c r="G338" s="200">
        <v>25.473310398401956</v>
      </c>
      <c r="H338" s="202">
        <v>81.747362876509158</v>
      </c>
      <c r="I338" s="200">
        <v>11.077997865350762</v>
      </c>
      <c r="J338" s="200">
        <v>7.1746392581400826</v>
      </c>
      <c r="K338" s="201">
        <v>44.226031065881095</v>
      </c>
      <c r="L338" s="200">
        <v>26.989823245848953</v>
      </c>
      <c r="M338" s="203">
        <v>28.784145688269952</v>
      </c>
      <c r="N338" s="434"/>
      <c r="O338" s="202">
        <v>83.288859239492993</v>
      </c>
      <c r="P338" s="200">
        <v>9.6115358957253552</v>
      </c>
      <c r="Q338" s="200">
        <v>7.0996048647816483</v>
      </c>
      <c r="R338" s="201">
        <v>48.290557817975191</v>
      </c>
      <c r="S338" s="200">
        <v>27.360545506203238</v>
      </c>
      <c r="T338" s="200">
        <v>24.348896675821575</v>
      </c>
      <c r="U338" s="202">
        <v>78.232232883395667</v>
      </c>
      <c r="V338" s="200">
        <v>13.807123109448691</v>
      </c>
      <c r="W338" s="200">
        <v>7.9606440071556346</v>
      </c>
      <c r="X338" s="201">
        <v>35.170749814402377</v>
      </c>
      <c r="Y338" s="200">
        <v>30.549368968077207</v>
      </c>
      <c r="Z338" s="203">
        <v>34.279881217520412</v>
      </c>
      <c r="AA338" s="200">
        <v>84.804664723032076</v>
      </c>
      <c r="AB338" s="204">
        <v>9.924198250728864</v>
      </c>
      <c r="AC338" s="200">
        <v>5.2711370262390673</v>
      </c>
      <c r="AD338" s="201">
        <v>46.362968405584134</v>
      </c>
      <c r="AE338" s="200">
        <v>18.515797207935343</v>
      </c>
      <c r="AF338" s="205">
        <v>35.121234386480523</v>
      </c>
    </row>
    <row r="339" spans="1:32" x14ac:dyDescent="0.25">
      <c r="A339" s="199" t="s">
        <v>635</v>
      </c>
      <c r="B339" s="200">
        <v>82.173526798933963</v>
      </c>
      <c r="C339" s="200">
        <v>12.210048366400159</v>
      </c>
      <c r="D339" s="200">
        <v>5.6164248346658772</v>
      </c>
      <c r="E339" s="201">
        <v>38.35920177383592</v>
      </c>
      <c r="F339" s="200">
        <v>31.083189619774988</v>
      </c>
      <c r="G339" s="200">
        <v>30.557608606389092</v>
      </c>
      <c r="H339" s="202">
        <v>80.361351139041631</v>
      </c>
      <c r="I339" s="200">
        <v>12.986314962583206</v>
      </c>
      <c r="J339" s="200">
        <v>6.6523338983751596</v>
      </c>
      <c r="K339" s="201">
        <v>65.507506736815088</v>
      </c>
      <c r="L339" s="200">
        <v>22.597202617733863</v>
      </c>
      <c r="M339" s="203">
        <v>11.895290645451045</v>
      </c>
      <c r="N339" s="434"/>
      <c r="O339" s="202">
        <v>80.152996175095623</v>
      </c>
      <c r="P339" s="200">
        <v>12.503187420314493</v>
      </c>
      <c r="Q339" s="200">
        <v>7.3438164045898855</v>
      </c>
      <c r="R339" s="201">
        <v>66.371494834492935</v>
      </c>
      <c r="S339" s="200">
        <v>25.722116803710733</v>
      </c>
      <c r="T339" s="200">
        <v>7.9063883617963322</v>
      </c>
      <c r="U339" s="202">
        <v>78.993435448577671</v>
      </c>
      <c r="V339" s="200">
        <v>14.343544857768054</v>
      </c>
      <c r="W339" s="200">
        <v>6.6630196936542667</v>
      </c>
      <c r="X339" s="201">
        <v>71.075514874141874</v>
      </c>
      <c r="Y339" s="200">
        <v>17.070938215102974</v>
      </c>
      <c r="Z339" s="203">
        <v>11.853546910755149</v>
      </c>
      <c r="AA339" s="200">
        <v>84.917733089579528</v>
      </c>
      <c r="AB339" s="204">
        <v>10.938452163315052</v>
      </c>
      <c r="AC339" s="200">
        <v>4.1438147471054236</v>
      </c>
      <c r="AD339" s="201">
        <v>46.705202312138724</v>
      </c>
      <c r="AE339" s="200">
        <v>19.421965317919074</v>
      </c>
      <c r="AF339" s="205">
        <v>33.872832369942195</v>
      </c>
    </row>
    <row r="340" spans="1:32" x14ac:dyDescent="0.25">
      <c r="A340" s="199" t="s">
        <v>636</v>
      </c>
      <c r="B340" s="200">
        <v>82.956547269524378</v>
      </c>
      <c r="C340" s="200">
        <v>9.2263652378156191</v>
      </c>
      <c r="D340" s="200">
        <v>7.8170874926600113</v>
      </c>
      <c r="E340" s="201">
        <v>39.891950297136681</v>
      </c>
      <c r="F340" s="200">
        <v>20.696920583468394</v>
      </c>
      <c r="G340" s="200">
        <v>39.411129119394921</v>
      </c>
      <c r="H340" s="202">
        <v>72.131752548784419</v>
      </c>
      <c r="I340" s="200">
        <v>20.131937076163673</v>
      </c>
      <c r="J340" s="200">
        <v>7.7363103750518984</v>
      </c>
      <c r="K340" s="201">
        <v>43.452193120858311</v>
      </c>
      <c r="L340" s="200">
        <v>37.267276743452193</v>
      </c>
      <c r="M340" s="203">
        <v>19.280530135689492</v>
      </c>
      <c r="N340" s="434"/>
      <c r="O340" s="202">
        <v>74.378651783378388</v>
      </c>
      <c r="P340" s="200">
        <v>19.342460974971658</v>
      </c>
      <c r="Q340" s="200">
        <v>6.2788872416499526</v>
      </c>
      <c r="R340" s="201">
        <v>48.111782477341393</v>
      </c>
      <c r="S340" s="200">
        <v>29.38066465256798</v>
      </c>
      <c r="T340" s="200">
        <v>22.507552870090635</v>
      </c>
      <c r="U340" s="202">
        <v>73.927352510970252</v>
      </c>
      <c r="V340" s="200">
        <v>17.040468064358848</v>
      </c>
      <c r="W340" s="200">
        <v>9.0321794246708933</v>
      </c>
      <c r="X340" s="201">
        <v>37.597503900156006</v>
      </c>
      <c r="Y340" s="200">
        <v>41.185647425897038</v>
      </c>
      <c r="Z340" s="203">
        <v>21.216848673946959</v>
      </c>
      <c r="AA340" s="200">
        <v>51.944167497507479</v>
      </c>
      <c r="AB340" s="204">
        <v>37.288135593220339</v>
      </c>
      <c r="AC340" s="200">
        <v>10.767696909272182</v>
      </c>
      <c r="AD340" s="201">
        <v>45.825932504440495</v>
      </c>
      <c r="AE340" s="200">
        <v>46.891651865008882</v>
      </c>
      <c r="AF340" s="205">
        <v>7.2824156305506218</v>
      </c>
    </row>
    <row r="341" spans="1:32" x14ac:dyDescent="0.25">
      <c r="A341" s="199" t="s">
        <v>637</v>
      </c>
      <c r="B341" s="200">
        <v>62.590248685266069</v>
      </c>
      <c r="C341" s="200">
        <v>19.983955789286032</v>
      </c>
      <c r="D341" s="200">
        <v>17.425795525447903</v>
      </c>
      <c r="E341" s="201">
        <v>56.189661493339848</v>
      </c>
      <c r="F341" s="200">
        <v>17.218623976536723</v>
      </c>
      <c r="G341" s="200">
        <v>26.591714530123429</v>
      </c>
      <c r="H341" s="202">
        <v>76.315901996835848</v>
      </c>
      <c r="I341" s="200">
        <v>16.064480266814897</v>
      </c>
      <c r="J341" s="200">
        <v>7.6196177363492543</v>
      </c>
      <c r="K341" s="201">
        <v>56.096256684491976</v>
      </c>
      <c r="L341" s="200">
        <v>15.543672014260249</v>
      </c>
      <c r="M341" s="203">
        <v>28.360071301247775</v>
      </c>
      <c r="N341" s="434"/>
      <c r="O341" s="202">
        <v>75.354535537467484</v>
      </c>
      <c r="P341" s="200">
        <v>18.578501300662921</v>
      </c>
      <c r="Q341" s="200">
        <v>6.0669631618695981</v>
      </c>
      <c r="R341" s="201">
        <v>65.995440729483278</v>
      </c>
      <c r="S341" s="200">
        <v>7.4088145896656536</v>
      </c>
      <c r="T341" s="200">
        <v>26.595744680851062</v>
      </c>
      <c r="U341" s="202">
        <v>76.114165399461925</v>
      </c>
      <c r="V341" s="200">
        <v>15.183062346473273</v>
      </c>
      <c r="W341" s="200">
        <v>8.7027722540648025</v>
      </c>
      <c r="X341" s="201">
        <v>52.638888888888893</v>
      </c>
      <c r="Y341" s="200">
        <v>21.157407407407408</v>
      </c>
      <c r="Z341" s="203">
        <v>26.203703703703702</v>
      </c>
      <c r="AA341" s="200">
        <v>80.828483396097226</v>
      </c>
      <c r="AB341" s="204">
        <v>8.3875385142074634</v>
      </c>
      <c r="AC341" s="200">
        <v>10.783978089695308</v>
      </c>
      <c r="AD341" s="201">
        <v>33.374083129584356</v>
      </c>
      <c r="AE341" s="200">
        <v>27.017114914425427</v>
      </c>
      <c r="AF341" s="205">
        <v>39.608801955990216</v>
      </c>
    </row>
    <row r="342" spans="1:32" x14ac:dyDescent="0.25">
      <c r="A342" s="199" t="s">
        <v>638</v>
      </c>
      <c r="B342" s="200">
        <v>62.787479821379897</v>
      </c>
      <c r="C342" s="200">
        <v>22.992096270362062</v>
      </c>
      <c r="D342" s="200">
        <v>14.220423908258034</v>
      </c>
      <c r="E342" s="201">
        <v>41.996822720788487</v>
      </c>
      <c r="F342" s="200">
        <v>30.594280897419274</v>
      </c>
      <c r="G342" s="200">
        <v>27.408896381792246</v>
      </c>
      <c r="H342" s="202">
        <v>68.595969606871492</v>
      </c>
      <c r="I342" s="200">
        <v>17.102081268582754</v>
      </c>
      <c r="J342" s="200">
        <v>14.301949124545754</v>
      </c>
      <c r="K342" s="201">
        <v>40.618281321258713</v>
      </c>
      <c r="L342" s="200">
        <v>18.356244706495538</v>
      </c>
      <c r="M342" s="203">
        <v>41.025473972245749</v>
      </c>
      <c r="N342" s="434"/>
      <c r="O342" s="202">
        <v>65.695414769069359</v>
      </c>
      <c r="P342" s="200">
        <v>18.708123703474094</v>
      </c>
      <c r="Q342" s="200">
        <v>15.596461527456542</v>
      </c>
      <c r="R342" s="201">
        <v>41.350997380616562</v>
      </c>
      <c r="S342" s="200">
        <v>18.184565786822489</v>
      </c>
      <c r="T342" s="200">
        <v>40.464436832560949</v>
      </c>
      <c r="U342" s="202">
        <v>72.796828543111985</v>
      </c>
      <c r="V342" s="200">
        <v>15.088206144697722</v>
      </c>
      <c r="W342" s="200">
        <v>12.114965312190288</v>
      </c>
      <c r="X342" s="201">
        <v>43.047238855622091</v>
      </c>
      <c r="Y342" s="200">
        <v>21.304058549567532</v>
      </c>
      <c r="Z342" s="203">
        <v>35.648702594810381</v>
      </c>
      <c r="AA342" s="200">
        <v>70.4382563741041</v>
      </c>
      <c r="AB342" s="204">
        <v>15.15685583362707</v>
      </c>
      <c r="AC342" s="200">
        <v>14.404887792268827</v>
      </c>
      <c r="AD342" s="201">
        <v>30.771540078054638</v>
      </c>
      <c r="AE342" s="200">
        <v>12.728910237166016</v>
      </c>
      <c r="AF342" s="205">
        <v>56.499549684779346</v>
      </c>
    </row>
    <row r="343" spans="1:32" x14ac:dyDescent="0.25">
      <c r="A343" s="199" t="s">
        <v>639</v>
      </c>
      <c r="B343" s="200">
        <v>74.181940852355794</v>
      </c>
      <c r="C343" s="200">
        <v>12.571685595412122</v>
      </c>
      <c r="D343" s="200">
        <v>13.246373552232093</v>
      </c>
      <c r="E343" s="201">
        <v>49.191866527632946</v>
      </c>
      <c r="F343" s="200">
        <v>23.631386861313867</v>
      </c>
      <c r="G343" s="200">
        <v>27.176746611053183</v>
      </c>
      <c r="H343" s="202">
        <v>77.876647572437577</v>
      </c>
      <c r="I343" s="200">
        <v>13.180579500583949</v>
      </c>
      <c r="J343" s="200">
        <v>8.9427729269784777</v>
      </c>
      <c r="K343" s="201">
        <v>64.169381107491859</v>
      </c>
      <c r="L343" s="200">
        <v>11.563517915309445</v>
      </c>
      <c r="M343" s="203">
        <v>24.267100977198698</v>
      </c>
      <c r="N343" s="434"/>
      <c r="O343" s="202">
        <v>78.468147527242252</v>
      </c>
      <c r="P343" s="200">
        <v>12.772422464375524</v>
      </c>
      <c r="Q343" s="200">
        <v>8.7594300083822301</v>
      </c>
      <c r="R343" s="201">
        <v>59.292035398230091</v>
      </c>
      <c r="S343" s="200">
        <v>12.56637168141593</v>
      </c>
      <c r="T343" s="200">
        <v>28.141592920353979</v>
      </c>
      <c r="U343" s="202">
        <v>74.149145363787625</v>
      </c>
      <c r="V343" s="200">
        <v>15.912872485251853</v>
      </c>
      <c r="W343" s="200">
        <v>9.9379821509605204</v>
      </c>
      <c r="X343" s="201">
        <v>68.25795644891123</v>
      </c>
      <c r="Y343" s="200">
        <v>11.892797319932999</v>
      </c>
      <c r="Z343" s="203">
        <v>19.849246231155778</v>
      </c>
      <c r="AA343" s="200">
        <v>88.280394304490699</v>
      </c>
      <c r="AB343" s="204">
        <v>5.4216867469879517</v>
      </c>
      <c r="AC343" s="200">
        <v>6.2979189485213585</v>
      </c>
      <c r="AD343" s="201">
        <v>95.714285714285722</v>
      </c>
      <c r="AE343" s="200">
        <v>0</v>
      </c>
      <c r="AF343" s="205">
        <v>4.2857142857142856</v>
      </c>
    </row>
    <row r="344" spans="1:32" x14ac:dyDescent="0.25">
      <c r="A344" s="199" t="s">
        <v>640</v>
      </c>
      <c r="B344" s="200">
        <v>80.839924609758853</v>
      </c>
      <c r="C344" s="200">
        <v>11.674211060457173</v>
      </c>
      <c r="D344" s="200">
        <v>7.4858643297839782</v>
      </c>
      <c r="E344" s="201">
        <v>52.062676887897588</v>
      </c>
      <c r="F344" s="200">
        <v>19.953892002324142</v>
      </c>
      <c r="G344" s="200">
        <v>27.983431109778266</v>
      </c>
      <c r="H344" s="202">
        <v>80.548565910546984</v>
      </c>
      <c r="I344" s="200">
        <v>11.348294784538389</v>
      </c>
      <c r="J344" s="200">
        <v>8.1031393049146239</v>
      </c>
      <c r="K344" s="201">
        <v>56.984898303605206</v>
      </c>
      <c r="L344" s="200">
        <v>20.688451130444903</v>
      </c>
      <c r="M344" s="203">
        <v>22.326650565949894</v>
      </c>
      <c r="N344" s="434"/>
      <c r="O344" s="202">
        <v>83.821984528698309</v>
      </c>
      <c r="P344" s="200">
        <v>9.7571069302518065</v>
      </c>
      <c r="Q344" s="200">
        <v>6.4209085410498838</v>
      </c>
      <c r="R344" s="201">
        <v>59.85000256844917</v>
      </c>
      <c r="S344" s="200">
        <v>16.684645810859404</v>
      </c>
      <c r="T344" s="200">
        <v>23.465351620691425</v>
      </c>
      <c r="U344" s="202">
        <v>77.29432122070159</v>
      </c>
      <c r="V344" s="200">
        <v>12.984112002516909</v>
      </c>
      <c r="W344" s="200">
        <v>9.7215667767815006</v>
      </c>
      <c r="X344" s="201">
        <v>50.654923215898826</v>
      </c>
      <c r="Y344" s="200">
        <v>27.619692863595301</v>
      </c>
      <c r="Z344" s="203">
        <v>21.725383920505873</v>
      </c>
      <c r="AA344" s="200">
        <v>72.743944372277838</v>
      </c>
      <c r="AB344" s="204">
        <v>15.014900282723312</v>
      </c>
      <c r="AC344" s="200">
        <v>12.241155344998853</v>
      </c>
      <c r="AD344" s="201">
        <v>57.022332506203476</v>
      </c>
      <c r="AE344" s="200">
        <v>23.424317617866006</v>
      </c>
      <c r="AF344" s="205">
        <v>19.553349875930522</v>
      </c>
    </row>
    <row r="345" spans="1:32" x14ac:dyDescent="0.25">
      <c r="A345" s="199" t="s">
        <v>641</v>
      </c>
      <c r="B345" s="200">
        <v>69.430552202255711</v>
      </c>
      <c r="C345" s="200">
        <v>19.732349187734972</v>
      </c>
      <c r="D345" s="200">
        <v>10.837098610009313</v>
      </c>
      <c r="E345" s="201">
        <v>36.736381105599499</v>
      </c>
      <c r="F345" s="200">
        <v>19.902131653036601</v>
      </c>
      <c r="G345" s="200">
        <v>43.361487241363896</v>
      </c>
      <c r="H345" s="202">
        <v>75.963617386117946</v>
      </c>
      <c r="I345" s="200">
        <v>11.889584731230896</v>
      </c>
      <c r="J345" s="200">
        <v>12.14679788265116</v>
      </c>
      <c r="K345" s="201">
        <v>46.564079354303388</v>
      </c>
      <c r="L345" s="200">
        <v>27.766463000678886</v>
      </c>
      <c r="M345" s="203">
        <v>25.669457645017729</v>
      </c>
      <c r="N345" s="434"/>
      <c r="O345" s="202">
        <v>77.245829293570921</v>
      </c>
      <c r="P345" s="200">
        <v>10.939119387516298</v>
      </c>
      <c r="Q345" s="200">
        <v>11.815051318912774</v>
      </c>
      <c r="R345" s="201">
        <v>49.173748819641169</v>
      </c>
      <c r="S345" s="200">
        <v>26.605288007554297</v>
      </c>
      <c r="T345" s="200">
        <v>24.220963172804531</v>
      </c>
      <c r="U345" s="202">
        <v>74.911391024592405</v>
      </c>
      <c r="V345" s="200">
        <v>13.348601341403565</v>
      </c>
      <c r="W345" s="200">
        <v>11.740007634004035</v>
      </c>
      <c r="X345" s="201">
        <v>37.009576768612909</v>
      </c>
      <c r="Y345" s="200">
        <v>30.707445165276493</v>
      </c>
      <c r="Z345" s="203">
        <v>32.282978066110594</v>
      </c>
      <c r="AA345" s="200">
        <v>72.431031290501764</v>
      </c>
      <c r="AB345" s="204">
        <v>12.201444177004259</v>
      </c>
      <c r="AC345" s="200">
        <v>15.367524532493981</v>
      </c>
      <c r="AD345" s="201">
        <v>52.2609819121447</v>
      </c>
      <c r="AE345" s="200">
        <v>27.971576227390184</v>
      </c>
      <c r="AF345" s="205">
        <v>19.767441860465116</v>
      </c>
    </row>
    <row r="346" spans="1:32" x14ac:dyDescent="0.25">
      <c r="A346" s="199" t="s">
        <v>642</v>
      </c>
      <c r="B346" s="200">
        <v>67.780030963127714</v>
      </c>
      <c r="C346" s="200">
        <v>18.723098057172759</v>
      </c>
      <c r="D346" s="200">
        <v>13.496870979699526</v>
      </c>
      <c r="E346" s="201">
        <v>48.008403458168985</v>
      </c>
      <c r="F346" s="200">
        <v>24.13843429901409</v>
      </c>
      <c r="G346" s="200">
        <v>27.853162242816925</v>
      </c>
      <c r="H346" s="202">
        <v>69.32852536737748</v>
      </c>
      <c r="I346" s="200">
        <v>17.188746145424229</v>
      </c>
      <c r="J346" s="200">
        <v>13.482728487198289</v>
      </c>
      <c r="K346" s="201">
        <v>41.728953852116376</v>
      </c>
      <c r="L346" s="200">
        <v>25.946073138997317</v>
      </c>
      <c r="M346" s="203">
        <v>32.324973008886303</v>
      </c>
      <c r="N346" s="434"/>
      <c r="O346" s="202">
        <v>67.02975119285442</v>
      </c>
      <c r="P346" s="200">
        <v>18.714193729465567</v>
      </c>
      <c r="Q346" s="200">
        <v>14.256055077680003</v>
      </c>
      <c r="R346" s="201">
        <v>44.978072009846684</v>
      </c>
      <c r="S346" s="200">
        <v>25.11143242952571</v>
      </c>
      <c r="T346" s="200">
        <v>29.910495560627609</v>
      </c>
      <c r="U346" s="202">
        <v>72.351134992872019</v>
      </c>
      <c r="V346" s="200">
        <v>15.4309683079285</v>
      </c>
      <c r="W346" s="200">
        <v>12.217896699199473</v>
      </c>
      <c r="X346" s="201">
        <v>40.952019242942143</v>
      </c>
      <c r="Y346" s="200">
        <v>30.289910115204457</v>
      </c>
      <c r="Z346" s="203">
        <v>28.758070641853401</v>
      </c>
      <c r="AA346" s="200">
        <v>69.406117955940871</v>
      </c>
      <c r="AB346" s="204">
        <v>16.518754529666754</v>
      </c>
      <c r="AC346" s="200">
        <v>14.075127514392374</v>
      </c>
      <c r="AD346" s="201">
        <v>30.411935816834006</v>
      </c>
      <c r="AE346" s="200">
        <v>21.173876325419911</v>
      </c>
      <c r="AF346" s="205">
        <v>48.414187857746086</v>
      </c>
    </row>
    <row r="347" spans="1:32" x14ac:dyDescent="0.25">
      <c r="A347" s="199" t="s">
        <v>643</v>
      </c>
      <c r="B347" s="200">
        <v>78.67850214567045</v>
      </c>
      <c r="C347" s="200">
        <v>14.731644230203985</v>
      </c>
      <c r="D347" s="200">
        <v>6.5898536241255661</v>
      </c>
      <c r="E347" s="201">
        <v>44.497058401492325</v>
      </c>
      <c r="F347" s="200">
        <v>22.973166881905584</v>
      </c>
      <c r="G347" s="200">
        <v>32.529774716602091</v>
      </c>
      <c r="H347" s="202">
        <v>83.14610991338553</v>
      </c>
      <c r="I347" s="200">
        <v>9.4141230757592957</v>
      </c>
      <c r="J347" s="200">
        <v>7.4397670108551761</v>
      </c>
      <c r="K347" s="201">
        <v>59.155124653739612</v>
      </c>
      <c r="L347" s="200">
        <v>23.878116343490305</v>
      </c>
      <c r="M347" s="203">
        <v>16.966759002770083</v>
      </c>
      <c r="N347" s="434"/>
      <c r="O347" s="202">
        <v>78.115414794207865</v>
      </c>
      <c r="P347" s="200">
        <v>12.575789999286682</v>
      </c>
      <c r="Q347" s="200">
        <v>9.308795206505458</v>
      </c>
      <c r="R347" s="201">
        <v>56.876985928279623</v>
      </c>
      <c r="S347" s="200">
        <v>27.757603268270543</v>
      </c>
      <c r="T347" s="200">
        <v>15.365410803449841</v>
      </c>
      <c r="U347" s="202">
        <v>90.997622013362019</v>
      </c>
      <c r="V347" s="200">
        <v>5.3221605707167932</v>
      </c>
      <c r="W347" s="200">
        <v>3.6802174159211867</v>
      </c>
      <c r="X347" s="201">
        <v>67.028704422032575</v>
      </c>
      <c r="Y347" s="200">
        <v>21.799844840961985</v>
      </c>
      <c r="Z347" s="203">
        <v>11.171450737005431</v>
      </c>
      <c r="AA347" s="200">
        <v>83.505154639175259</v>
      </c>
      <c r="AB347" s="204">
        <v>7.1329061019782678</v>
      </c>
      <c r="AC347" s="200">
        <v>9.3619392588464763</v>
      </c>
      <c r="AD347" s="201">
        <v>59.081967213114751</v>
      </c>
      <c r="AE347" s="200">
        <v>14.426229508196723</v>
      </c>
      <c r="AF347" s="205">
        <v>26.491803278688526</v>
      </c>
    </row>
    <row r="348" spans="1:32" x14ac:dyDescent="0.25">
      <c r="A348" s="199" t="s">
        <v>644</v>
      </c>
      <c r="B348" s="200">
        <v>80.404379445376804</v>
      </c>
      <c r="C348" s="200">
        <v>14.536881643091185</v>
      </c>
      <c r="D348" s="200">
        <v>5.0587389115320072</v>
      </c>
      <c r="E348" s="201">
        <v>52.996484343062711</v>
      </c>
      <c r="F348" s="200">
        <v>19.810318044313629</v>
      </c>
      <c r="G348" s="200">
        <v>27.19319761262366</v>
      </c>
      <c r="H348" s="202">
        <v>79.573525984618968</v>
      </c>
      <c r="I348" s="200">
        <v>11.772702555736814</v>
      </c>
      <c r="J348" s="200">
        <v>8.6537714596442168</v>
      </c>
      <c r="K348" s="201">
        <v>58.472873409243128</v>
      </c>
      <c r="L348" s="200">
        <v>27.863362357669125</v>
      </c>
      <c r="M348" s="203">
        <v>13.663764233087743</v>
      </c>
      <c r="N348" s="434"/>
      <c r="O348" s="202">
        <v>77.400114975567689</v>
      </c>
      <c r="P348" s="200">
        <v>12.302385743029607</v>
      </c>
      <c r="Q348" s="200">
        <v>10.297499281402702</v>
      </c>
      <c r="R348" s="201">
        <v>55.340519353258209</v>
      </c>
      <c r="S348" s="200">
        <v>28.343949044585987</v>
      </c>
      <c r="T348" s="200">
        <v>16.315531602155804</v>
      </c>
      <c r="U348" s="202">
        <v>82.618558928378533</v>
      </c>
      <c r="V348" s="200">
        <v>11.720859889813115</v>
      </c>
      <c r="W348" s="200">
        <v>5.6605811818083618</v>
      </c>
      <c r="X348" s="201">
        <v>62.404580152671748</v>
      </c>
      <c r="Y348" s="200">
        <v>27.251908396946568</v>
      </c>
      <c r="Z348" s="203">
        <v>10.343511450381678</v>
      </c>
      <c r="AA348" s="200">
        <v>80.373105324523891</v>
      </c>
      <c r="AB348" s="204">
        <v>9.0944422852701123</v>
      </c>
      <c r="AC348" s="200">
        <v>10.532452390205984</v>
      </c>
      <c r="AD348" s="201">
        <v>61.811023622047244</v>
      </c>
      <c r="AE348" s="200">
        <v>27.42782152230971</v>
      </c>
      <c r="AF348" s="205">
        <v>10.761154855643044</v>
      </c>
    </row>
    <row r="349" spans="1:32" x14ac:dyDescent="0.25">
      <c r="A349" s="199" t="s">
        <v>645</v>
      </c>
      <c r="B349" s="200">
        <v>63.283430601370206</v>
      </c>
      <c r="C349" s="200">
        <v>22.024866785079929</v>
      </c>
      <c r="D349" s="200">
        <v>14.691702613549859</v>
      </c>
      <c r="E349" s="201">
        <v>36.658653846153847</v>
      </c>
      <c r="F349" s="200">
        <v>31.490384615384613</v>
      </c>
      <c r="G349" s="200">
        <v>31.850961538461537</v>
      </c>
      <c r="H349" s="202">
        <v>77.915101179882669</v>
      </c>
      <c r="I349" s="200">
        <v>10.777140597192011</v>
      </c>
      <c r="J349" s="200">
        <v>11.307758222925319</v>
      </c>
      <c r="K349" s="201">
        <v>39.703153988868273</v>
      </c>
      <c r="L349" s="200">
        <v>14.842300556586272</v>
      </c>
      <c r="M349" s="203">
        <v>45.454545454545453</v>
      </c>
      <c r="N349" s="434"/>
      <c r="O349" s="202">
        <v>77.971768202080241</v>
      </c>
      <c r="P349" s="200">
        <v>10.178306092124814</v>
      </c>
      <c r="Q349" s="200">
        <v>11.849925705794947</v>
      </c>
      <c r="R349" s="201">
        <v>33.137829912023456</v>
      </c>
      <c r="S349" s="200">
        <v>23.577712609970675</v>
      </c>
      <c r="T349" s="200">
        <v>43.284457478005869</v>
      </c>
      <c r="U349" s="202">
        <v>76.460887251937777</v>
      </c>
      <c r="V349" s="200">
        <v>12.198339838381617</v>
      </c>
      <c r="W349" s="200">
        <v>11.340772909680611</v>
      </c>
      <c r="X349" s="201">
        <v>39.119170984455955</v>
      </c>
      <c r="Y349" s="200">
        <v>13.644214162348877</v>
      </c>
      <c r="Z349" s="203">
        <v>47.236614853195164</v>
      </c>
      <c r="AA349" s="200">
        <v>84.294478527607367</v>
      </c>
      <c r="AB349" s="204">
        <v>5.6196319018404912</v>
      </c>
      <c r="AC349" s="200">
        <v>10.085889570552148</v>
      </c>
      <c r="AD349" s="201">
        <v>52.747252747252752</v>
      </c>
      <c r="AE349" s="200">
        <v>0</v>
      </c>
      <c r="AF349" s="205">
        <v>47.252747252747248</v>
      </c>
    </row>
    <row r="350" spans="1:32" x14ac:dyDescent="0.25">
      <c r="A350" s="199" t="s">
        <v>646</v>
      </c>
      <c r="B350" s="200">
        <v>76.264830219555435</v>
      </c>
      <c r="C350" s="200">
        <v>14.489294967953089</v>
      </c>
      <c r="D350" s="200">
        <v>9.2458748124914774</v>
      </c>
      <c r="E350" s="201">
        <v>49.057819575060954</v>
      </c>
      <c r="F350" s="200">
        <v>18.589341692789969</v>
      </c>
      <c r="G350" s="200">
        <v>32.352838732149074</v>
      </c>
      <c r="H350" s="202">
        <v>77.262381368504478</v>
      </c>
      <c r="I350" s="200">
        <v>14.287601357530432</v>
      </c>
      <c r="J350" s="200">
        <v>8.4500172739650861</v>
      </c>
      <c r="K350" s="201">
        <v>46.696081156197891</v>
      </c>
      <c r="L350" s="200">
        <v>25.187604224569206</v>
      </c>
      <c r="M350" s="203">
        <v>28.116314619232906</v>
      </c>
      <c r="N350" s="434"/>
      <c r="O350" s="202">
        <v>78.417864569207126</v>
      </c>
      <c r="P350" s="200">
        <v>13.564777144923607</v>
      </c>
      <c r="Q350" s="200">
        <v>8.0173582858692711</v>
      </c>
      <c r="R350" s="201">
        <v>52.903386764797602</v>
      </c>
      <c r="S350" s="200">
        <v>19.890226408033431</v>
      </c>
      <c r="T350" s="200">
        <v>27.206386827168966</v>
      </c>
      <c r="U350" s="202">
        <v>77.119214856153178</v>
      </c>
      <c r="V350" s="200">
        <v>15.10311427563424</v>
      </c>
      <c r="W350" s="200">
        <v>7.7776708682125788</v>
      </c>
      <c r="X350" s="201">
        <v>39.704731014427921</v>
      </c>
      <c r="Y350" s="200">
        <v>32.434850687842527</v>
      </c>
      <c r="Z350" s="203">
        <v>27.860418297729559</v>
      </c>
      <c r="AA350" s="200">
        <v>72.277642719423255</v>
      </c>
      <c r="AB350" s="204">
        <v>15.508424847011485</v>
      </c>
      <c r="AC350" s="200">
        <v>12.213932433565262</v>
      </c>
      <c r="AD350" s="201">
        <v>37.00105042016807</v>
      </c>
      <c r="AE350" s="200">
        <v>30.462184873949578</v>
      </c>
      <c r="AF350" s="205">
        <v>32.536764705882355</v>
      </c>
    </row>
    <row r="351" spans="1:32" x14ac:dyDescent="0.25">
      <c r="A351" s="199" t="s">
        <v>647</v>
      </c>
      <c r="B351" s="200">
        <v>82.018283482737203</v>
      </c>
      <c r="C351" s="200">
        <v>14.413774740392297</v>
      </c>
      <c r="D351" s="200">
        <v>3.5679417768705068</v>
      </c>
      <c r="E351" s="201">
        <v>51.926565162425106</v>
      </c>
      <c r="F351" s="200">
        <v>19.655911614357173</v>
      </c>
      <c r="G351" s="200">
        <v>28.417523223217721</v>
      </c>
      <c r="H351" s="202">
        <v>78.725651860249414</v>
      </c>
      <c r="I351" s="200">
        <v>13.415953828712771</v>
      </c>
      <c r="J351" s="200">
        <v>7.8583943110378236</v>
      </c>
      <c r="K351" s="201">
        <v>56.367370892018776</v>
      </c>
      <c r="L351" s="200">
        <v>22.439847417840376</v>
      </c>
      <c r="M351" s="203">
        <v>21.192781690140844</v>
      </c>
      <c r="N351" s="434"/>
      <c r="O351" s="202">
        <v>78.355325164938733</v>
      </c>
      <c r="P351" s="200">
        <v>12.879359095193212</v>
      </c>
      <c r="Q351" s="200">
        <v>8.7653157398680488</v>
      </c>
      <c r="R351" s="201">
        <v>72.053156146179404</v>
      </c>
      <c r="S351" s="200">
        <v>10.471760797342194</v>
      </c>
      <c r="T351" s="200">
        <v>17.475083056478404</v>
      </c>
      <c r="U351" s="202">
        <v>79.70561317876755</v>
      </c>
      <c r="V351" s="200">
        <v>12.881330079316655</v>
      </c>
      <c r="W351" s="200">
        <v>7.4130567419158027</v>
      </c>
      <c r="X351" s="201">
        <v>56.846910112359552</v>
      </c>
      <c r="Y351" s="200">
        <v>33.426966292134829</v>
      </c>
      <c r="Z351" s="203">
        <v>9.7261235955056176</v>
      </c>
      <c r="AA351" s="200">
        <v>77.628935030140653</v>
      </c>
      <c r="AB351" s="204">
        <v>17.526233534271043</v>
      </c>
      <c r="AC351" s="200">
        <v>4.8448314355883006</v>
      </c>
      <c r="AD351" s="201">
        <v>19.736034376918354</v>
      </c>
      <c r="AE351" s="200">
        <v>40.454266421117254</v>
      </c>
      <c r="AF351" s="205">
        <v>39.809699201964392</v>
      </c>
    </row>
    <row r="352" spans="1:32" x14ac:dyDescent="0.25">
      <c r="A352" s="199" t="s">
        <v>648</v>
      </c>
      <c r="B352" s="200">
        <v>73.1171447759762</v>
      </c>
      <c r="C352" s="200">
        <v>19.258690716044644</v>
      </c>
      <c r="D352" s="200">
        <v>7.6241645079791489</v>
      </c>
      <c r="E352" s="201">
        <v>44.689350167629641</v>
      </c>
      <c r="F352" s="200">
        <v>32.391754048077608</v>
      </c>
      <c r="G352" s="200">
        <v>22.918895784292744</v>
      </c>
      <c r="H352" s="202">
        <v>65.340137901080411</v>
      </c>
      <c r="I352" s="200">
        <v>21.906726749552092</v>
      </c>
      <c r="J352" s="200">
        <v>12.753135349367501</v>
      </c>
      <c r="K352" s="201">
        <v>44.397935779816514</v>
      </c>
      <c r="L352" s="200">
        <v>27.431192660550458</v>
      </c>
      <c r="M352" s="203">
        <v>28.170871559633028</v>
      </c>
      <c r="N352" s="434"/>
      <c r="O352" s="202">
        <v>67.875697211155384</v>
      </c>
      <c r="P352" s="200">
        <v>21.051792828685258</v>
      </c>
      <c r="Q352" s="200">
        <v>11.072509960159364</v>
      </c>
      <c r="R352" s="201">
        <v>49.875225884175201</v>
      </c>
      <c r="S352" s="200">
        <v>25.006453833577147</v>
      </c>
      <c r="T352" s="200">
        <v>25.118320282247652</v>
      </c>
      <c r="U352" s="202">
        <v>65.961242694555523</v>
      </c>
      <c r="V352" s="200">
        <v>21.365733620424486</v>
      </c>
      <c r="W352" s="200">
        <v>12.673023685019993</v>
      </c>
      <c r="X352" s="201">
        <v>29.421410166315297</v>
      </c>
      <c r="Y352" s="200">
        <v>42.000468493792461</v>
      </c>
      <c r="Z352" s="203">
        <v>28.578121339892249</v>
      </c>
      <c r="AA352" s="200">
        <v>53.585944670250427</v>
      </c>
      <c r="AB352" s="204">
        <v>26.576635636554347</v>
      </c>
      <c r="AC352" s="200">
        <v>19.837419693195226</v>
      </c>
      <c r="AD352" s="201">
        <v>44.58064516129032</v>
      </c>
      <c r="AE352" s="200">
        <v>5.4838709677419359</v>
      </c>
      <c r="AF352" s="205">
        <v>49.935483870967737</v>
      </c>
    </row>
    <row r="353" spans="1:32" x14ac:dyDescent="0.25">
      <c r="A353" s="199" t="s">
        <v>649</v>
      </c>
      <c r="B353" s="200">
        <v>70.900741600907864</v>
      </c>
      <c r="C353" s="200">
        <v>18.752474202317174</v>
      </c>
      <c r="D353" s="200">
        <v>10.346784196774959</v>
      </c>
      <c r="E353" s="201">
        <v>47.755539082447903</v>
      </c>
      <c r="F353" s="200">
        <v>21.494316777860142</v>
      </c>
      <c r="G353" s="200">
        <v>30.750144139691955</v>
      </c>
      <c r="H353" s="202">
        <v>73.302175684686247</v>
      </c>
      <c r="I353" s="200">
        <v>14.667349912330527</v>
      </c>
      <c r="J353" s="200">
        <v>12.030474402983232</v>
      </c>
      <c r="K353" s="201">
        <v>46.827535043535981</v>
      </c>
      <c r="L353" s="200">
        <v>23.179493186521416</v>
      </c>
      <c r="M353" s="203">
        <v>29.992971769942599</v>
      </c>
      <c r="N353" s="434"/>
      <c r="O353" s="202">
        <v>71.959047595352416</v>
      </c>
      <c r="P353" s="200">
        <v>15.102132212076731</v>
      </c>
      <c r="Q353" s="200">
        <v>12.938820192570846</v>
      </c>
      <c r="R353" s="201">
        <v>52.353284861075046</v>
      </c>
      <c r="S353" s="200">
        <v>21.614515710205144</v>
      </c>
      <c r="T353" s="200">
        <v>26.032199428719814</v>
      </c>
      <c r="U353" s="202">
        <v>75.001686340640802</v>
      </c>
      <c r="V353" s="200">
        <v>13.910623946037099</v>
      </c>
      <c r="W353" s="200">
        <v>11.08768971332209</v>
      </c>
      <c r="X353" s="201">
        <v>41.302749595647697</v>
      </c>
      <c r="Y353" s="200">
        <v>25.856491692398176</v>
      </c>
      <c r="Z353" s="203">
        <v>32.840758711954123</v>
      </c>
      <c r="AA353" s="200">
        <v>73.624697119267708</v>
      </c>
      <c r="AB353" s="204">
        <v>15.112626761195369</v>
      </c>
      <c r="AC353" s="200">
        <v>11.26267611953693</v>
      </c>
      <c r="AD353" s="201">
        <v>32.868467410452148</v>
      </c>
      <c r="AE353" s="200">
        <v>24.911920140927773</v>
      </c>
      <c r="AF353" s="205">
        <v>42.219612448620083</v>
      </c>
    </row>
    <row r="354" spans="1:32" x14ac:dyDescent="0.25">
      <c r="A354" s="199" t="s">
        <v>650</v>
      </c>
      <c r="B354" s="200">
        <v>75.635544320492386</v>
      </c>
      <c r="C354" s="200">
        <v>16.085068967412212</v>
      </c>
      <c r="D354" s="200">
        <v>8.2793867120954001</v>
      </c>
      <c r="E354" s="201">
        <v>57.214523250139038</v>
      </c>
      <c r="F354" s="200">
        <v>20.664646395859577</v>
      </c>
      <c r="G354" s="200">
        <v>22.120830354001384</v>
      </c>
      <c r="H354" s="202">
        <v>79.365418086518133</v>
      </c>
      <c r="I354" s="200">
        <v>11.364591182805738</v>
      </c>
      <c r="J354" s="200">
        <v>9.2699907306761276</v>
      </c>
      <c r="K354" s="201">
        <v>52.985325956218432</v>
      </c>
      <c r="L354" s="200">
        <v>24.101515515997114</v>
      </c>
      <c r="M354" s="203">
        <v>22.913158527784461</v>
      </c>
      <c r="N354" s="434"/>
      <c r="O354" s="202">
        <v>78.799551013174224</v>
      </c>
      <c r="P354" s="200">
        <v>11.377089856442369</v>
      </c>
      <c r="Q354" s="200">
        <v>9.8233591303834107</v>
      </c>
      <c r="R354" s="201">
        <v>57.854050711193572</v>
      </c>
      <c r="S354" s="200">
        <v>20.269016697588128</v>
      </c>
      <c r="T354" s="200">
        <v>21.876932591218306</v>
      </c>
      <c r="U354" s="202">
        <v>80.166680184929845</v>
      </c>
      <c r="V354" s="200">
        <v>12.462486819693405</v>
      </c>
      <c r="W354" s="200">
        <v>7.3708329953767544</v>
      </c>
      <c r="X354" s="201">
        <v>47.88049277330488</v>
      </c>
      <c r="Y354" s="200">
        <v>32.86448734115821</v>
      </c>
      <c r="Z354" s="203">
        <v>19.25501988553691</v>
      </c>
      <c r="AA354" s="200">
        <v>79.887535145267108</v>
      </c>
      <c r="AB354" s="204">
        <v>7.9100281162136827</v>
      </c>
      <c r="AC354" s="200">
        <v>12.202436738519213</v>
      </c>
      <c r="AD354" s="201">
        <v>39.395064019298573</v>
      </c>
      <c r="AE354" s="200">
        <v>25.719057339023937</v>
      </c>
      <c r="AF354" s="205">
        <v>34.885878641677493</v>
      </c>
    </row>
    <row r="355" spans="1:32" x14ac:dyDescent="0.25">
      <c r="A355" s="199" t="s">
        <v>651</v>
      </c>
      <c r="B355" s="200">
        <v>74.604821181584668</v>
      </c>
      <c r="C355" s="200">
        <v>13.253309622604229</v>
      </c>
      <c r="D355" s="200">
        <v>12.141869195811104</v>
      </c>
      <c r="E355" s="201">
        <v>40.893860254262343</v>
      </c>
      <c r="F355" s="200">
        <v>20.631713807036562</v>
      </c>
      <c r="G355" s="200">
        <v>38.474425938701096</v>
      </c>
      <c r="H355" s="202">
        <v>74.146762945133617</v>
      </c>
      <c r="I355" s="200">
        <v>12.090353638215145</v>
      </c>
      <c r="J355" s="200">
        <v>13.762883416651237</v>
      </c>
      <c r="K355" s="201">
        <v>55.583756345177662</v>
      </c>
      <c r="L355" s="200">
        <v>17.36040609137056</v>
      </c>
      <c r="M355" s="203">
        <v>27.055837563451778</v>
      </c>
      <c r="N355" s="434"/>
      <c r="O355" s="202">
        <v>72.653502840140646</v>
      </c>
      <c r="P355" s="200">
        <v>11.301054909385988</v>
      </c>
      <c r="Q355" s="200">
        <v>16.045442250473357</v>
      </c>
      <c r="R355" s="201">
        <v>49.724491734752043</v>
      </c>
      <c r="S355" s="200">
        <v>17.499524985749574</v>
      </c>
      <c r="T355" s="200">
        <v>32.775983279498384</v>
      </c>
      <c r="U355" s="202">
        <v>74.262630195658517</v>
      </c>
      <c r="V355" s="200">
        <v>12.216489827703688</v>
      </c>
      <c r="W355" s="200">
        <v>13.52087997663779</v>
      </c>
      <c r="X355" s="201">
        <v>66.609880749574103</v>
      </c>
      <c r="Y355" s="200">
        <v>24.588302101078931</v>
      </c>
      <c r="Z355" s="203">
        <v>8.8018171493469612</v>
      </c>
      <c r="AA355" s="200">
        <v>81.369863013698634</v>
      </c>
      <c r="AB355" s="204">
        <v>15.753424657534246</v>
      </c>
      <c r="AC355" s="200">
        <v>2.8767123287671232</v>
      </c>
      <c r="AD355" s="201">
        <v>68.925233644859816</v>
      </c>
      <c r="AE355" s="200">
        <v>1.6355140186915886</v>
      </c>
      <c r="AF355" s="205">
        <v>29.439252336448597</v>
      </c>
    </row>
    <row r="356" spans="1:32" x14ac:dyDescent="0.25">
      <c r="A356" s="199" t="s">
        <v>652</v>
      </c>
      <c r="B356" s="200">
        <v>84.686985640501732</v>
      </c>
      <c r="C356" s="200">
        <v>10.891651058516375</v>
      </c>
      <c r="D356" s="200">
        <v>4.4213633009818949</v>
      </c>
      <c r="E356" s="201">
        <v>56.61023780733575</v>
      </c>
      <c r="F356" s="200">
        <v>22.390165255945181</v>
      </c>
      <c r="G356" s="200">
        <v>20.999596936719065</v>
      </c>
      <c r="H356" s="202">
        <v>72.330008514779223</v>
      </c>
      <c r="I356" s="200">
        <v>14.727527064833962</v>
      </c>
      <c r="J356" s="200">
        <v>12.942464420386814</v>
      </c>
      <c r="K356" s="201">
        <v>54.2007809547802</v>
      </c>
      <c r="L356" s="200">
        <v>20.41818868875173</v>
      </c>
      <c r="M356" s="203">
        <v>25.38103035646807</v>
      </c>
      <c r="N356" s="434"/>
      <c r="O356" s="202">
        <v>72.854156071650564</v>
      </c>
      <c r="P356" s="200">
        <v>14.324461773181895</v>
      </c>
      <c r="Q356" s="200">
        <v>12.821382155167543</v>
      </c>
      <c r="R356" s="201">
        <v>55.404236921746651</v>
      </c>
      <c r="S356" s="200">
        <v>14.094249891915261</v>
      </c>
      <c r="T356" s="200">
        <v>30.501513186338091</v>
      </c>
      <c r="U356" s="202">
        <v>69.185846788045353</v>
      </c>
      <c r="V356" s="200">
        <v>15.381312263826864</v>
      </c>
      <c r="W356" s="200">
        <v>15.43284094812779</v>
      </c>
      <c r="X356" s="201">
        <v>63.365505665127984</v>
      </c>
      <c r="Y356" s="200">
        <v>21.779269827947964</v>
      </c>
      <c r="Z356" s="203">
        <v>14.855224506924044</v>
      </c>
      <c r="AA356" s="200">
        <v>80.04515946937623</v>
      </c>
      <c r="AB356" s="204">
        <v>14.592153542195879</v>
      </c>
      <c r="AC356" s="200">
        <v>5.3626869884278863</v>
      </c>
      <c r="AD356" s="201">
        <v>24.731182795698924</v>
      </c>
      <c r="AE356" s="200">
        <v>48.387096774193552</v>
      </c>
      <c r="AF356" s="205">
        <v>26.881720430107524</v>
      </c>
    </row>
    <row r="357" spans="1:32" x14ac:dyDescent="0.25">
      <c r="A357" s="199" t="s">
        <v>653</v>
      </c>
      <c r="B357" s="200">
        <v>54.705081488007046</v>
      </c>
      <c r="C357" s="200">
        <v>33.338005045449087</v>
      </c>
      <c r="D357" s="200">
        <v>11.956913466543867</v>
      </c>
      <c r="E357" s="201">
        <v>42.747489392550264</v>
      </c>
      <c r="F357" s="200">
        <v>26.442932986503486</v>
      </c>
      <c r="G357" s="200">
        <v>30.80957762094625</v>
      </c>
      <c r="H357" s="202">
        <v>67.977412555054755</v>
      </c>
      <c r="I357" s="200">
        <v>16.447875786190469</v>
      </c>
      <c r="J357" s="200">
        <v>15.574711658754778</v>
      </c>
      <c r="K357" s="201">
        <v>52.449446695924237</v>
      </c>
      <c r="L357" s="200">
        <v>20.158326858870716</v>
      </c>
      <c r="M357" s="203">
        <v>27.392226445205047</v>
      </c>
      <c r="N357" s="434"/>
      <c r="O357" s="202">
        <v>65.584311775050182</v>
      </c>
      <c r="P357" s="200">
        <v>20.787963834662591</v>
      </c>
      <c r="Q357" s="200">
        <v>13.627724390287227</v>
      </c>
      <c r="R357" s="201">
        <v>51.291396530576485</v>
      </c>
      <c r="S357" s="200">
        <v>19.786227439985982</v>
      </c>
      <c r="T357" s="200">
        <v>28.922376029437537</v>
      </c>
      <c r="U357" s="202">
        <v>71.103807176116135</v>
      </c>
      <c r="V357" s="200">
        <v>13.376160952167526</v>
      </c>
      <c r="W357" s="200">
        <v>15.520031871716341</v>
      </c>
      <c r="X357" s="201">
        <v>56.131147540983605</v>
      </c>
      <c r="Y357" s="200">
        <v>23.795992714025502</v>
      </c>
      <c r="Z357" s="203">
        <v>20.072859744990893</v>
      </c>
      <c r="AA357" s="200">
        <v>68.430152143845092</v>
      </c>
      <c r="AB357" s="204">
        <v>10.472238688006323</v>
      </c>
      <c r="AC357" s="200">
        <v>21.097609168148587</v>
      </c>
      <c r="AD357" s="201">
        <v>49.18888681707999</v>
      </c>
      <c r="AE357" s="200">
        <v>12.828640686183107</v>
      </c>
      <c r="AF357" s="205">
        <v>37.982472496736904</v>
      </c>
    </row>
    <row r="358" spans="1:32" x14ac:dyDescent="0.25">
      <c r="A358" s="199" t="s">
        <v>654</v>
      </c>
      <c r="B358" s="200">
        <v>75.97266444047527</v>
      </c>
      <c r="C358" s="200">
        <v>15.616991535295488</v>
      </c>
      <c r="D358" s="200">
        <v>8.4103440242292464</v>
      </c>
      <c r="E358" s="201">
        <v>55.068370320555928</v>
      </c>
      <c r="F358" s="200">
        <v>18.861241874019278</v>
      </c>
      <c r="G358" s="200">
        <v>26.070387805424794</v>
      </c>
      <c r="H358" s="202">
        <v>80.924942284952792</v>
      </c>
      <c r="I358" s="200">
        <v>10.625199421911072</v>
      </c>
      <c r="J358" s="200">
        <v>8.449858293136133</v>
      </c>
      <c r="K358" s="201">
        <v>52.35365641827341</v>
      </c>
      <c r="L358" s="200">
        <v>21.747437901684904</v>
      </c>
      <c r="M358" s="203">
        <v>25.89890568004169</v>
      </c>
      <c r="N358" s="434"/>
      <c r="O358" s="202">
        <v>81.753649270145971</v>
      </c>
      <c r="P358" s="200">
        <v>9.9746717323202017</v>
      </c>
      <c r="Q358" s="200">
        <v>8.2716789975338259</v>
      </c>
      <c r="R358" s="201">
        <v>54.204763517327017</v>
      </c>
      <c r="S358" s="200">
        <v>19.020205440794673</v>
      </c>
      <c r="T358" s="200">
        <v>26.775031041878318</v>
      </c>
      <c r="U358" s="202">
        <v>84.161974362046237</v>
      </c>
      <c r="V358" s="200">
        <v>8.11668863064574</v>
      </c>
      <c r="W358" s="200">
        <v>7.7213370073080139</v>
      </c>
      <c r="X358" s="201">
        <v>51.123595505617978</v>
      </c>
      <c r="Y358" s="200">
        <v>21.747009786154404</v>
      </c>
      <c r="Z358" s="203">
        <v>27.129394708227615</v>
      </c>
      <c r="AA358" s="200">
        <v>68.931448548411609</v>
      </c>
      <c r="AB358" s="204">
        <v>19.957440340477277</v>
      </c>
      <c r="AC358" s="200">
        <v>11.111111111111111</v>
      </c>
      <c r="AD358" s="201">
        <v>49.032480995162402</v>
      </c>
      <c r="AE358" s="200">
        <v>30.09675190048376</v>
      </c>
      <c r="AF358" s="205">
        <v>20.870767104353835</v>
      </c>
    </row>
    <row r="359" spans="1:32" x14ac:dyDescent="0.25">
      <c r="A359" s="199" t="s">
        <v>655</v>
      </c>
      <c r="B359" s="200">
        <v>72.146739130434781</v>
      </c>
      <c r="C359" s="200">
        <v>15.708612040133779</v>
      </c>
      <c r="D359" s="200">
        <v>12.144648829431439</v>
      </c>
      <c r="E359" s="201">
        <v>45.482683174128823</v>
      </c>
      <c r="F359" s="200">
        <v>24.750520305245743</v>
      </c>
      <c r="G359" s="200">
        <v>29.766796520625434</v>
      </c>
      <c r="H359" s="202">
        <v>79.144255756330452</v>
      </c>
      <c r="I359" s="200">
        <v>11.875264398380372</v>
      </c>
      <c r="J359" s="200">
        <v>8.9804798452891763</v>
      </c>
      <c r="K359" s="201">
        <v>54.088460910723022</v>
      </c>
      <c r="L359" s="200">
        <v>24.465480659376528</v>
      </c>
      <c r="M359" s="203">
        <v>21.446058429900443</v>
      </c>
      <c r="N359" s="434"/>
      <c r="O359" s="202">
        <v>80.051610007853697</v>
      </c>
      <c r="P359" s="200">
        <v>10.411758106137103</v>
      </c>
      <c r="Q359" s="200">
        <v>9.5366318860092001</v>
      </c>
      <c r="R359" s="201">
        <v>49.09192511874825</v>
      </c>
      <c r="S359" s="200">
        <v>26.571668063704944</v>
      </c>
      <c r="T359" s="200">
        <v>24.336406817546802</v>
      </c>
      <c r="U359" s="202">
        <v>78.193760262725775</v>
      </c>
      <c r="V359" s="200">
        <v>13.431855500821019</v>
      </c>
      <c r="W359" s="200">
        <v>8.3743842364532011</v>
      </c>
      <c r="X359" s="201">
        <v>63.014377788795237</v>
      </c>
      <c r="Y359" s="200">
        <v>22.012890431333666</v>
      </c>
      <c r="Z359" s="203">
        <v>14.972731779871095</v>
      </c>
      <c r="AA359" s="200">
        <v>77.640959170447175</v>
      </c>
      <c r="AB359" s="204">
        <v>14.193130265716135</v>
      </c>
      <c r="AC359" s="200">
        <v>8.1659105638366807</v>
      </c>
      <c r="AD359" s="201">
        <v>53.860640301318263</v>
      </c>
      <c r="AE359" s="200">
        <v>19.58568738229755</v>
      </c>
      <c r="AF359" s="205">
        <v>26.55367231638418</v>
      </c>
    </row>
    <row r="360" spans="1:32" x14ac:dyDescent="0.25">
      <c r="A360" s="199" t="s">
        <v>656</v>
      </c>
      <c r="B360" s="200">
        <v>62.99678550555231</v>
      </c>
      <c r="C360" s="200">
        <v>24.73699590882525</v>
      </c>
      <c r="D360" s="200">
        <v>12.266218585622443</v>
      </c>
      <c r="E360" s="201">
        <v>41.140031516600558</v>
      </c>
      <c r="F360" s="200">
        <v>27.375971309025704</v>
      </c>
      <c r="G360" s="200">
        <v>31.483997174373744</v>
      </c>
      <c r="H360" s="202">
        <v>69.433875449059414</v>
      </c>
      <c r="I360" s="200">
        <v>18.521599093917569</v>
      </c>
      <c r="J360" s="200">
        <v>12.044525457023024</v>
      </c>
      <c r="K360" s="201">
        <v>42.733496332518342</v>
      </c>
      <c r="L360" s="200">
        <v>26.459657701711492</v>
      </c>
      <c r="M360" s="203">
        <v>30.806845965770169</v>
      </c>
      <c r="N360" s="434"/>
      <c r="O360" s="202">
        <v>71.052707414771916</v>
      </c>
      <c r="P360" s="200">
        <v>18.66804991210628</v>
      </c>
      <c r="Q360" s="200">
        <v>10.279242673121813</v>
      </c>
      <c r="R360" s="201">
        <v>51.868732907930713</v>
      </c>
      <c r="S360" s="200">
        <v>21.216955332725615</v>
      </c>
      <c r="T360" s="200">
        <v>26.914311759343661</v>
      </c>
      <c r="U360" s="202">
        <v>65.327435802924199</v>
      </c>
      <c r="V360" s="200">
        <v>18.442069050251874</v>
      </c>
      <c r="W360" s="200">
        <v>16.230495146823934</v>
      </c>
      <c r="X360" s="201">
        <v>26.059960972148303</v>
      </c>
      <c r="Y360" s="200">
        <v>37.963455738868191</v>
      </c>
      <c r="Z360" s="203">
        <v>35.976583288983498</v>
      </c>
      <c r="AA360" s="200">
        <v>71.363965267727934</v>
      </c>
      <c r="AB360" s="204">
        <v>17.836468885672936</v>
      </c>
      <c r="AC360" s="200">
        <v>10.799565846599132</v>
      </c>
      <c r="AD360" s="201">
        <v>26.804123711340207</v>
      </c>
      <c r="AE360" s="200">
        <v>28.987265009096426</v>
      </c>
      <c r="AF360" s="205">
        <v>44.208611279563371</v>
      </c>
    </row>
    <row r="361" spans="1:32" x14ac:dyDescent="0.25">
      <c r="A361" s="199" t="s">
        <v>657</v>
      </c>
      <c r="B361" s="200">
        <v>89.276807980049881</v>
      </c>
      <c r="C361" s="200">
        <v>7.0744192151200949</v>
      </c>
      <c r="D361" s="200">
        <v>3.6487728048300303</v>
      </c>
      <c r="E361" s="201">
        <v>62.341176470588231</v>
      </c>
      <c r="F361" s="200">
        <v>16.670588235294119</v>
      </c>
      <c r="G361" s="200">
        <v>20.988235294117647</v>
      </c>
      <c r="H361" s="202">
        <v>82.879402485351875</v>
      </c>
      <c r="I361" s="200">
        <v>10.205395660292318</v>
      </c>
      <c r="J361" s="200">
        <v>6.9152018543558045</v>
      </c>
      <c r="K361" s="201">
        <v>53.880803880803882</v>
      </c>
      <c r="L361" s="200">
        <v>27.51212751212751</v>
      </c>
      <c r="M361" s="203">
        <v>18.607068607068609</v>
      </c>
      <c r="N361" s="434"/>
      <c r="O361" s="202">
        <v>86.070430408049191</v>
      </c>
      <c r="P361" s="200">
        <v>6.1822247065399658</v>
      </c>
      <c r="Q361" s="200">
        <v>7.7473448854108433</v>
      </c>
      <c r="R361" s="201">
        <v>58.786936236391917</v>
      </c>
      <c r="S361" s="200">
        <v>20.943494038361845</v>
      </c>
      <c r="T361" s="200">
        <v>20.269569725246242</v>
      </c>
      <c r="U361" s="202">
        <v>77.330219887137574</v>
      </c>
      <c r="V361" s="200">
        <v>17.357462541350458</v>
      </c>
      <c r="W361" s="200">
        <v>5.3123175715119677</v>
      </c>
      <c r="X361" s="201">
        <v>57.697841726618705</v>
      </c>
      <c r="Y361" s="200">
        <v>28.920863309352519</v>
      </c>
      <c r="Z361" s="203">
        <v>13.381294964028779</v>
      </c>
      <c r="AA361" s="200">
        <v>82.861091914305462</v>
      </c>
      <c r="AB361" s="204">
        <v>9.675190048375951</v>
      </c>
      <c r="AC361" s="200">
        <v>7.4637180373185892</v>
      </c>
      <c r="AD361" s="201">
        <v>7.6335877862595423</v>
      </c>
      <c r="AE361" s="200">
        <v>72.137404580152676</v>
      </c>
      <c r="AF361" s="205">
        <v>20.229007633587788</v>
      </c>
    </row>
    <row r="362" spans="1:32" x14ac:dyDescent="0.25">
      <c r="A362" s="199" t="s">
        <v>658</v>
      </c>
      <c r="B362" s="200">
        <v>63.541202672605792</v>
      </c>
      <c r="C362" s="200">
        <v>25.493689680772086</v>
      </c>
      <c r="D362" s="200">
        <v>10.965107646622123</v>
      </c>
      <c r="E362" s="201">
        <v>42.005781632199245</v>
      </c>
      <c r="F362" s="200">
        <v>23.137647320435846</v>
      </c>
      <c r="G362" s="200">
        <v>34.856571047364909</v>
      </c>
      <c r="H362" s="202">
        <v>63.653906565543238</v>
      </c>
      <c r="I362" s="200">
        <v>18.152851949916975</v>
      </c>
      <c r="J362" s="200">
        <v>18.193241484539787</v>
      </c>
      <c r="K362" s="201">
        <v>34.957492703971575</v>
      </c>
      <c r="L362" s="200">
        <v>20.073594721482046</v>
      </c>
      <c r="M362" s="203">
        <v>44.96891257454638</v>
      </c>
      <c r="N362" s="434"/>
      <c r="O362" s="202">
        <v>71.165592837419467</v>
      </c>
      <c r="P362" s="200">
        <v>14.191281064346079</v>
      </c>
      <c r="Q362" s="200">
        <v>14.643126098234458</v>
      </c>
      <c r="R362" s="201">
        <v>29.748743718592962</v>
      </c>
      <c r="S362" s="200">
        <v>23.2964824120603</v>
      </c>
      <c r="T362" s="200">
        <v>46.954773869346731</v>
      </c>
      <c r="U362" s="202">
        <v>56.82071614422005</v>
      </c>
      <c r="V362" s="200">
        <v>22.351629290050798</v>
      </c>
      <c r="W362" s="200">
        <v>20.827654565729155</v>
      </c>
      <c r="X362" s="201">
        <v>46.401718582169707</v>
      </c>
      <c r="Y362" s="200">
        <v>15.467239527389903</v>
      </c>
      <c r="Z362" s="203">
        <v>38.131041890440386</v>
      </c>
      <c r="AA362" s="200">
        <v>48.341441839893854</v>
      </c>
      <c r="AB362" s="204">
        <v>24.10437859354268</v>
      </c>
      <c r="AC362" s="200">
        <v>27.554179566563469</v>
      </c>
      <c r="AD362" s="201">
        <v>39.309683604985615</v>
      </c>
      <c r="AE362" s="200">
        <v>12.943432406519657</v>
      </c>
      <c r="AF362" s="205">
        <v>47.746883988494723</v>
      </c>
    </row>
    <row r="363" spans="1:32" x14ac:dyDescent="0.25">
      <c r="A363" s="199" t="s">
        <v>659</v>
      </c>
      <c r="B363" s="200">
        <v>66.510414045481014</v>
      </c>
      <c r="C363" s="200">
        <v>22.826063512376791</v>
      </c>
      <c r="D363" s="200">
        <v>10.663522442142195</v>
      </c>
      <c r="E363" s="201">
        <v>48.20967522761245</v>
      </c>
      <c r="F363" s="200">
        <v>25.056620011776964</v>
      </c>
      <c r="G363" s="200">
        <v>26.733704760610589</v>
      </c>
      <c r="H363" s="202">
        <v>70.293489346164662</v>
      </c>
      <c r="I363" s="200">
        <v>17.956024862446544</v>
      </c>
      <c r="J363" s="200">
        <v>11.750485791388797</v>
      </c>
      <c r="K363" s="201">
        <v>43.253438960968971</v>
      </c>
      <c r="L363" s="200">
        <v>25.281920698435794</v>
      </c>
      <c r="M363" s="203">
        <v>31.464640340595235</v>
      </c>
      <c r="N363" s="434"/>
      <c r="O363" s="202">
        <v>70.534034082815396</v>
      </c>
      <c r="P363" s="200">
        <v>18.474145492986256</v>
      </c>
      <c r="Q363" s="200">
        <v>10.99182042419835</v>
      </c>
      <c r="R363" s="201">
        <v>45.489823895391751</v>
      </c>
      <c r="S363" s="200">
        <v>28.052304123167776</v>
      </c>
      <c r="T363" s="200">
        <v>26.457871981440473</v>
      </c>
      <c r="U363" s="202">
        <v>69.365276913503422</v>
      </c>
      <c r="V363" s="200">
        <v>17.788425637834475</v>
      </c>
      <c r="W363" s="200">
        <v>12.846297448662103</v>
      </c>
      <c r="X363" s="201">
        <v>42.063409019566812</v>
      </c>
      <c r="Y363" s="200">
        <v>21.272365805168985</v>
      </c>
      <c r="Z363" s="203">
        <v>36.664225175264207</v>
      </c>
      <c r="AA363" s="200">
        <v>72.025264873675638</v>
      </c>
      <c r="AB363" s="204">
        <v>15.688671556642216</v>
      </c>
      <c r="AC363" s="200">
        <v>12.286063569682151</v>
      </c>
      <c r="AD363" s="201">
        <v>32.436297451898078</v>
      </c>
      <c r="AE363" s="200">
        <v>18.161726469058763</v>
      </c>
      <c r="AF363" s="205">
        <v>49.401976079043166</v>
      </c>
    </row>
    <row r="364" spans="1:32" x14ac:dyDescent="0.25">
      <c r="A364" s="199" t="s">
        <v>660</v>
      </c>
      <c r="B364" s="200">
        <v>65.604402437507773</v>
      </c>
      <c r="C364" s="200">
        <v>21.869170501181443</v>
      </c>
      <c r="D364" s="200">
        <v>12.526427061310782</v>
      </c>
      <c r="E364" s="201">
        <v>47.028693746496103</v>
      </c>
      <c r="F364" s="200">
        <v>21.41837826818205</v>
      </c>
      <c r="G364" s="200">
        <v>31.552927985321848</v>
      </c>
      <c r="H364" s="202">
        <v>66.220171884879292</v>
      </c>
      <c r="I364" s="200">
        <v>15.963749619464673</v>
      </c>
      <c r="J364" s="200">
        <v>17.816078495656043</v>
      </c>
      <c r="K364" s="201">
        <v>47.900567414212375</v>
      </c>
      <c r="L364" s="200">
        <v>19.573088354498786</v>
      </c>
      <c r="M364" s="203">
        <v>32.526344231288839</v>
      </c>
      <c r="N364" s="434"/>
      <c r="O364" s="202">
        <v>64.804797742238947</v>
      </c>
      <c r="P364" s="200">
        <v>15.357478833490124</v>
      </c>
      <c r="Q364" s="200">
        <v>19.83772342427093</v>
      </c>
      <c r="R364" s="201">
        <v>50.382917379944139</v>
      </c>
      <c r="S364" s="200">
        <v>17.587170015316694</v>
      </c>
      <c r="T364" s="200">
        <v>32.029912604739167</v>
      </c>
      <c r="U364" s="202">
        <v>69.200675053697452</v>
      </c>
      <c r="V364" s="200">
        <v>16.968395213255601</v>
      </c>
      <c r="W364" s="200">
        <v>13.830929733046949</v>
      </c>
      <c r="X364" s="201">
        <v>48.518052811208911</v>
      </c>
      <c r="Y364" s="200">
        <v>21.358002514819471</v>
      </c>
      <c r="Z364" s="203">
        <v>30.123944673971621</v>
      </c>
      <c r="AA364" s="200">
        <v>65.559566787003604</v>
      </c>
      <c r="AB364" s="204">
        <v>16.534296028880867</v>
      </c>
      <c r="AC364" s="200">
        <v>17.906137184115522</v>
      </c>
      <c r="AD364" s="201">
        <v>31.049483414899402</v>
      </c>
      <c r="AE364" s="200">
        <v>26.155519303969548</v>
      </c>
      <c r="AF364" s="205">
        <v>42.794997281131046</v>
      </c>
    </row>
    <row r="365" spans="1:32" x14ac:dyDescent="0.25">
      <c r="A365" s="199" t="s">
        <v>661</v>
      </c>
      <c r="B365" s="200">
        <v>76.570643418933003</v>
      </c>
      <c r="C365" s="200">
        <v>15.426892826684355</v>
      </c>
      <c r="D365" s="200">
        <v>8.0024637543826405</v>
      </c>
      <c r="E365" s="201">
        <v>50.458936229909014</v>
      </c>
      <c r="F365" s="200">
        <v>24.02501102248587</v>
      </c>
      <c r="G365" s="200">
        <v>25.516052747605116</v>
      </c>
      <c r="H365" s="202">
        <v>79.433010767343603</v>
      </c>
      <c r="I365" s="200">
        <v>11.737767479896416</v>
      </c>
      <c r="J365" s="200">
        <v>8.8292217527599828</v>
      </c>
      <c r="K365" s="201">
        <v>65.713964217396196</v>
      </c>
      <c r="L365" s="200">
        <v>23.461235512546416</v>
      </c>
      <c r="M365" s="203">
        <v>10.824800270057388</v>
      </c>
      <c r="N365" s="434"/>
      <c r="O365" s="202">
        <v>80.800557282177692</v>
      </c>
      <c r="P365" s="200">
        <v>9.7792305219161939</v>
      </c>
      <c r="Q365" s="200">
        <v>9.4202121959061191</v>
      </c>
      <c r="R365" s="201">
        <v>69.941133186166297</v>
      </c>
      <c r="S365" s="200">
        <v>23.473142016188373</v>
      </c>
      <c r="T365" s="200">
        <v>6.5857247976453275</v>
      </c>
      <c r="U365" s="202">
        <v>82.744717389681171</v>
      </c>
      <c r="V365" s="200">
        <v>10.274023743746733</v>
      </c>
      <c r="W365" s="200">
        <v>6.98125886657209</v>
      </c>
      <c r="X365" s="201">
        <v>58.348134991119004</v>
      </c>
      <c r="Y365" s="200">
        <v>32.815275310834814</v>
      </c>
      <c r="Z365" s="203">
        <v>8.8365896980461809</v>
      </c>
      <c r="AA365" s="200">
        <v>64.341252699784008</v>
      </c>
      <c r="AB365" s="204">
        <v>23.866090712742981</v>
      </c>
      <c r="AC365" s="200">
        <v>11.792656587473003</v>
      </c>
      <c r="AD365" s="201">
        <v>60.350584307178636</v>
      </c>
      <c r="AE365" s="200">
        <v>5.8430717863105182</v>
      </c>
      <c r="AF365" s="205">
        <v>33.806343906510847</v>
      </c>
    </row>
    <row r="366" spans="1:32" x14ac:dyDescent="0.25">
      <c r="A366" s="199" t="s">
        <v>662</v>
      </c>
      <c r="B366" s="200">
        <v>68.625924484235114</v>
      </c>
      <c r="C366" s="200">
        <v>19.793694044375243</v>
      </c>
      <c r="D366" s="200">
        <v>11.580381471389646</v>
      </c>
      <c r="E366" s="201">
        <v>50.443175103407526</v>
      </c>
      <c r="F366" s="200">
        <v>20.484538113058893</v>
      </c>
      <c r="G366" s="200">
        <v>29.072286783533585</v>
      </c>
      <c r="H366" s="202">
        <v>79.086684178621951</v>
      </c>
      <c r="I366" s="200">
        <v>15.184885835522326</v>
      </c>
      <c r="J366" s="200">
        <v>5.7284299858557288</v>
      </c>
      <c r="K366" s="201">
        <v>54.997675499767553</v>
      </c>
      <c r="L366" s="200">
        <v>13.435611343561135</v>
      </c>
      <c r="M366" s="203">
        <v>31.566713156671316</v>
      </c>
      <c r="N366" s="434"/>
      <c r="O366" s="202">
        <v>76.699507389162562</v>
      </c>
      <c r="P366" s="200">
        <v>16.486042692939247</v>
      </c>
      <c r="Q366" s="200">
        <v>6.8144499178981937</v>
      </c>
      <c r="R366" s="201">
        <v>41.4070351758794</v>
      </c>
      <c r="S366" s="200">
        <v>17.688442211055278</v>
      </c>
      <c r="T366" s="200">
        <v>40.904522613065325</v>
      </c>
      <c r="U366" s="202">
        <v>82.705833678113365</v>
      </c>
      <c r="V366" s="200">
        <v>16.177079023582955</v>
      </c>
      <c r="W366" s="200">
        <v>1.1170872983036821</v>
      </c>
      <c r="X366" s="201">
        <v>40.841584158415841</v>
      </c>
      <c r="Y366" s="200">
        <v>26.485148514851488</v>
      </c>
      <c r="Z366" s="203">
        <v>32.673267326732677</v>
      </c>
      <c r="AA366" s="200">
        <v>83.309352517985616</v>
      </c>
      <c r="AB366" s="204">
        <v>7.6978417266187051</v>
      </c>
      <c r="AC366" s="200">
        <v>8.9928057553956826</v>
      </c>
      <c r="AD366" s="201">
        <v>80.585106382978722</v>
      </c>
      <c r="AE366" s="200">
        <v>0.7978723404255319</v>
      </c>
      <c r="AF366" s="205">
        <v>18.617021276595743</v>
      </c>
    </row>
    <row r="367" spans="1:32" x14ac:dyDescent="0.25">
      <c r="A367" s="199" t="s">
        <v>663</v>
      </c>
      <c r="B367" s="200">
        <v>72.694998433747514</v>
      </c>
      <c r="C367" s="200">
        <v>10.968988200897984</v>
      </c>
      <c r="D367" s="200">
        <v>16.336013365354496</v>
      </c>
      <c r="E367" s="201">
        <v>58.4901050574151</v>
      </c>
      <c r="F367" s="200">
        <v>12.423650134375762</v>
      </c>
      <c r="G367" s="200">
        <v>29.086244808209138</v>
      </c>
      <c r="H367" s="202">
        <v>81.202441045731931</v>
      </c>
      <c r="I367" s="200">
        <v>13.26753559858359</v>
      </c>
      <c r="J367" s="200">
        <v>5.530023355684472</v>
      </c>
      <c r="K367" s="201">
        <v>43.088916982722289</v>
      </c>
      <c r="L367" s="200">
        <v>26.569742941424359</v>
      </c>
      <c r="M367" s="203">
        <v>30.341340075853353</v>
      </c>
      <c r="N367" s="434"/>
      <c r="O367" s="202">
        <v>84.925690021231432</v>
      </c>
      <c r="P367" s="200">
        <v>10.253528162857501</v>
      </c>
      <c r="Q367" s="200">
        <v>4.8207818159110776</v>
      </c>
      <c r="R367" s="201">
        <v>40.563991323210416</v>
      </c>
      <c r="S367" s="200">
        <v>36.039665323830185</v>
      </c>
      <c r="T367" s="200">
        <v>23.396343352959406</v>
      </c>
      <c r="U367" s="202">
        <v>73.388324873096451</v>
      </c>
      <c r="V367" s="200">
        <v>19.923857868020303</v>
      </c>
      <c r="W367" s="200">
        <v>6.6878172588832481</v>
      </c>
      <c r="X367" s="201">
        <v>43.245614035087719</v>
      </c>
      <c r="Y367" s="200">
        <v>5.6140350877192979</v>
      </c>
      <c r="Z367" s="203">
        <v>51.140350877192986</v>
      </c>
      <c r="AA367" s="200">
        <v>81.938159879336354</v>
      </c>
      <c r="AB367" s="204">
        <v>11.689291101055806</v>
      </c>
      <c r="AC367" s="200">
        <v>6.3725490196078427</v>
      </c>
      <c r="AD367" s="201">
        <v>64.116094986807397</v>
      </c>
      <c r="AE367" s="200">
        <v>8.9709762532981525</v>
      </c>
      <c r="AF367" s="205">
        <v>26.912928759894463</v>
      </c>
    </row>
    <row r="368" spans="1:32" x14ac:dyDescent="0.25">
      <c r="A368" s="199" t="s">
        <v>664</v>
      </c>
      <c r="B368" s="200">
        <v>72.260210420646885</v>
      </c>
      <c r="C368" s="200">
        <v>18.185497482410454</v>
      </c>
      <c r="D368" s="200">
        <v>9.5542920969426604</v>
      </c>
      <c r="E368" s="201">
        <v>54.352038372811464</v>
      </c>
      <c r="F368" s="200">
        <v>25.486697839701382</v>
      </c>
      <c r="G368" s="200">
        <v>20.161263787487158</v>
      </c>
      <c r="H368" s="202">
        <v>73.207532865110892</v>
      </c>
      <c r="I368" s="200">
        <v>15.797082694461981</v>
      </c>
      <c r="J368" s="200">
        <v>10.995384440427125</v>
      </c>
      <c r="K368" s="201">
        <v>50.307155398521665</v>
      </c>
      <c r="L368" s="200">
        <v>21.735850692562806</v>
      </c>
      <c r="M368" s="203">
        <v>27.956993908915528</v>
      </c>
      <c r="N368" s="434"/>
      <c r="O368" s="202">
        <v>73.782049395072264</v>
      </c>
      <c r="P368" s="200">
        <v>16.033843992985613</v>
      </c>
      <c r="Q368" s="200">
        <v>10.184106611942118</v>
      </c>
      <c r="R368" s="201">
        <v>54.23894617647256</v>
      </c>
      <c r="S368" s="200">
        <v>20.949834837551172</v>
      </c>
      <c r="T368" s="200">
        <v>24.811218985976268</v>
      </c>
      <c r="U368" s="202">
        <v>72.518326578521922</v>
      </c>
      <c r="V368" s="200">
        <v>15.636170354129295</v>
      </c>
      <c r="W368" s="200">
        <v>11.845503067348792</v>
      </c>
      <c r="X368" s="201">
        <v>48.30347349177331</v>
      </c>
      <c r="Y368" s="200">
        <v>22.568555758683729</v>
      </c>
      <c r="Z368" s="203">
        <v>29.127970749542964</v>
      </c>
      <c r="AA368" s="200">
        <v>71.359230926312804</v>
      </c>
      <c r="AB368" s="204">
        <v>14.599205164857604</v>
      </c>
      <c r="AC368" s="200">
        <v>14.041563908829582</v>
      </c>
      <c r="AD368" s="201">
        <v>32.444976792933069</v>
      </c>
      <c r="AE368" s="200">
        <v>24.423566402156009</v>
      </c>
      <c r="AF368" s="205">
        <v>43.131456804910918</v>
      </c>
    </row>
    <row r="369" spans="1:32" x14ac:dyDescent="0.25">
      <c r="A369" s="199" t="s">
        <v>665</v>
      </c>
      <c r="B369" s="200">
        <v>88.335164835164832</v>
      </c>
      <c r="C369" s="200">
        <v>5.8461538461538458</v>
      </c>
      <c r="D369" s="200">
        <v>5.8186813186813184</v>
      </c>
      <c r="E369" s="201">
        <v>60.726265130523551</v>
      </c>
      <c r="F369" s="200">
        <v>11.316902435467407</v>
      </c>
      <c r="G369" s="200">
        <v>27.956832434009044</v>
      </c>
      <c r="H369" s="202">
        <v>86.88410584512674</v>
      </c>
      <c r="I369" s="200">
        <v>7.9835877464445915</v>
      </c>
      <c r="J369" s="200">
        <v>5.1323064084286658</v>
      </c>
      <c r="K369" s="201">
        <v>58.5484411666108</v>
      </c>
      <c r="L369" s="200">
        <v>11.28059001005699</v>
      </c>
      <c r="M369" s="203">
        <v>30.170968823332217</v>
      </c>
      <c r="N369" s="434"/>
      <c r="O369" s="202">
        <v>87.090053763440849</v>
      </c>
      <c r="P369" s="200">
        <v>10.36290322580645</v>
      </c>
      <c r="Q369" s="200">
        <v>2.547043010752688</v>
      </c>
      <c r="R369" s="201">
        <v>62.741087083576851</v>
      </c>
      <c r="S369" s="200">
        <v>6.049094097019287</v>
      </c>
      <c r="T369" s="200">
        <v>31.209818819403857</v>
      </c>
      <c r="U369" s="202">
        <v>86.898669396110535</v>
      </c>
      <c r="V369" s="200">
        <v>7.0112589559877172</v>
      </c>
      <c r="W369" s="200">
        <v>6.0900716479017403</v>
      </c>
      <c r="X369" s="201">
        <v>68.378378378378386</v>
      </c>
      <c r="Y369" s="200">
        <v>21.261261261261261</v>
      </c>
      <c r="Z369" s="203">
        <v>10.36036036036036</v>
      </c>
      <c r="AA369" s="200">
        <v>86.103674860063279</v>
      </c>
      <c r="AB369" s="204">
        <v>1.6792406911657338</v>
      </c>
      <c r="AC369" s="200">
        <v>12.21708444877099</v>
      </c>
      <c r="AD369" s="201">
        <v>40.975609756097562</v>
      </c>
      <c r="AE369" s="200">
        <v>16.027874564459928</v>
      </c>
      <c r="AF369" s="205">
        <v>42.99651567944251</v>
      </c>
    </row>
    <row r="370" spans="1:32" x14ac:dyDescent="0.25">
      <c r="A370" s="199" t="s">
        <v>666</v>
      </c>
      <c r="B370" s="200">
        <v>80.755144750610398</v>
      </c>
      <c r="C370" s="200">
        <v>12.138123474014648</v>
      </c>
      <c r="D370" s="200">
        <v>7.106731775374957</v>
      </c>
      <c r="E370" s="201">
        <v>50</v>
      </c>
      <c r="F370" s="200">
        <v>27.678157365898905</v>
      </c>
      <c r="G370" s="200">
        <v>22.321842634101095</v>
      </c>
      <c r="H370" s="202">
        <v>76.219724185884814</v>
      </c>
      <c r="I370" s="200">
        <v>14.457063390891181</v>
      </c>
      <c r="J370" s="200">
        <v>9.3232124232240121</v>
      </c>
      <c r="K370" s="201">
        <v>44.676713660670877</v>
      </c>
      <c r="L370" s="200">
        <v>28.22070977151191</v>
      </c>
      <c r="M370" s="203">
        <v>27.102576567817209</v>
      </c>
      <c r="N370" s="434"/>
      <c r="O370" s="202">
        <v>79.484360947336867</v>
      </c>
      <c r="P370" s="200">
        <v>14.100129909063655</v>
      </c>
      <c r="Q370" s="200">
        <v>6.4155091435994809</v>
      </c>
      <c r="R370" s="201">
        <v>30.551558752997604</v>
      </c>
      <c r="S370" s="200">
        <v>32.997601918465229</v>
      </c>
      <c r="T370" s="200">
        <v>36.450839328537171</v>
      </c>
      <c r="U370" s="202">
        <v>73.972346786248139</v>
      </c>
      <c r="V370" s="200">
        <v>13.434230194319879</v>
      </c>
      <c r="W370" s="200">
        <v>12.593423019431988</v>
      </c>
      <c r="X370" s="201">
        <v>61.774461028192377</v>
      </c>
      <c r="Y370" s="200">
        <v>29.35323383084577</v>
      </c>
      <c r="Z370" s="203">
        <v>8.8723051409618581</v>
      </c>
      <c r="AA370" s="200">
        <v>65.384615384615387</v>
      </c>
      <c r="AB370" s="204">
        <v>19.17808219178082</v>
      </c>
      <c r="AC370" s="200">
        <v>15.437302423603793</v>
      </c>
      <c r="AD370" s="201">
        <v>55.407047387606326</v>
      </c>
      <c r="AE370" s="200">
        <v>14.459295261239369</v>
      </c>
      <c r="AF370" s="205">
        <v>30.133657351154312</v>
      </c>
    </row>
    <row r="371" spans="1:32" x14ac:dyDescent="0.25">
      <c r="A371" s="199" t="s">
        <v>667</v>
      </c>
      <c r="B371" s="200">
        <v>81.095126433867804</v>
      </c>
      <c r="C371" s="200">
        <v>14.335509221116673</v>
      </c>
      <c r="D371" s="200">
        <v>4.5693643450155266</v>
      </c>
      <c r="E371" s="201">
        <v>63.374164810690424</v>
      </c>
      <c r="F371" s="200">
        <v>17.293986636971045</v>
      </c>
      <c r="G371" s="200">
        <v>19.331848552338528</v>
      </c>
      <c r="H371" s="202">
        <v>77.417517416641118</v>
      </c>
      <c r="I371" s="200">
        <v>12.802874293475879</v>
      </c>
      <c r="J371" s="200">
        <v>9.7796082898830132</v>
      </c>
      <c r="K371" s="201">
        <v>58.291347207009856</v>
      </c>
      <c r="L371" s="200">
        <v>11.193866374589266</v>
      </c>
      <c r="M371" s="203">
        <v>30.514786418400874</v>
      </c>
      <c r="N371" s="434"/>
      <c r="O371" s="202">
        <v>79.648539539301836</v>
      </c>
      <c r="P371" s="200">
        <v>13.116441067046624</v>
      </c>
      <c r="Q371" s="200">
        <v>7.2350193936515472</v>
      </c>
      <c r="R371" s="201">
        <v>76.538804638715433</v>
      </c>
      <c r="S371" s="200">
        <v>5.4861730597680642</v>
      </c>
      <c r="T371" s="200">
        <v>17.975022301516503</v>
      </c>
      <c r="U371" s="202">
        <v>71.67576201251164</v>
      </c>
      <c r="V371" s="200">
        <v>14.295221615865833</v>
      </c>
      <c r="W371" s="200">
        <v>14.029016371622522</v>
      </c>
      <c r="X371" s="201">
        <v>66.236559139784944</v>
      </c>
      <c r="Y371" s="200">
        <v>10.64516129032258</v>
      </c>
      <c r="Z371" s="203">
        <v>23.118279569892472</v>
      </c>
      <c r="AA371" s="200">
        <v>83.003361972357112</v>
      </c>
      <c r="AB371" s="204">
        <v>7.1348524467687708</v>
      </c>
      <c r="AC371" s="200">
        <v>9.8617855808741126</v>
      </c>
      <c r="AD371" s="201">
        <v>23.618090452261306</v>
      </c>
      <c r="AE371" s="200">
        <v>20.746590093323761</v>
      </c>
      <c r="AF371" s="205">
        <v>55.635319454414933</v>
      </c>
    </row>
    <row r="372" spans="1:32" x14ac:dyDescent="0.25">
      <c r="A372" s="199" t="s">
        <v>668</v>
      </c>
      <c r="B372" s="200">
        <v>85.435376805935178</v>
      </c>
      <c r="C372" s="200">
        <v>8.3853963295587661</v>
      </c>
      <c r="D372" s="200">
        <v>6.1792268645060524</v>
      </c>
      <c r="E372" s="201">
        <v>60.837603029627985</v>
      </c>
      <c r="F372" s="200">
        <v>13.288037424816219</v>
      </c>
      <c r="G372" s="200">
        <v>25.874359545555802</v>
      </c>
      <c r="H372" s="202">
        <v>84.959492779147581</v>
      </c>
      <c r="I372" s="200">
        <v>8.8333137646276079</v>
      </c>
      <c r="J372" s="200">
        <v>6.2071934562248057</v>
      </c>
      <c r="K372" s="201">
        <v>51.127819548872175</v>
      </c>
      <c r="L372" s="200">
        <v>25.763388061991716</v>
      </c>
      <c r="M372" s="203">
        <v>23.108792389136106</v>
      </c>
      <c r="N372" s="434"/>
      <c r="O372" s="202">
        <v>84.264341026990451</v>
      </c>
      <c r="P372" s="200">
        <v>9.0594692128411403</v>
      </c>
      <c r="Q372" s="200">
        <v>6.6761897601684081</v>
      </c>
      <c r="R372" s="201">
        <v>45.306666666666665</v>
      </c>
      <c r="S372" s="200">
        <v>24.32</v>
      </c>
      <c r="T372" s="200">
        <v>30.373333333333335</v>
      </c>
      <c r="U372" s="202">
        <v>85.309989207339015</v>
      </c>
      <c r="V372" s="200">
        <v>9.9292481112843269</v>
      </c>
      <c r="W372" s="200">
        <v>4.7607626813766641</v>
      </c>
      <c r="X372" s="201">
        <v>58.698795180722897</v>
      </c>
      <c r="Y372" s="200">
        <v>23.6144578313253</v>
      </c>
      <c r="Z372" s="203">
        <v>17.686746987951807</v>
      </c>
      <c r="AA372" s="200">
        <v>86.576323190999744</v>
      </c>
      <c r="AB372" s="204">
        <v>5.7274354385067756</v>
      </c>
      <c r="AC372" s="200">
        <v>7.69624137049348</v>
      </c>
      <c r="AD372" s="201">
        <v>60.028860028860031</v>
      </c>
      <c r="AE372" s="200">
        <v>39.971139971139969</v>
      </c>
      <c r="AF372" s="205">
        <v>0</v>
      </c>
    </row>
    <row r="373" spans="1:32" x14ac:dyDescent="0.25">
      <c r="A373" s="199" t="s">
        <v>669</v>
      </c>
      <c r="B373" s="200">
        <v>71.132376395534294</v>
      </c>
      <c r="C373" s="200">
        <v>18.318523581681475</v>
      </c>
      <c r="D373" s="200">
        <v>10.549100022784232</v>
      </c>
      <c r="E373" s="201">
        <v>70.651167575352332</v>
      </c>
      <c r="F373" s="200">
        <v>14.844151836230839</v>
      </c>
      <c r="G373" s="200">
        <v>14.504680588416829</v>
      </c>
      <c r="H373" s="202">
        <v>77.215986572957092</v>
      </c>
      <c r="I373" s="200">
        <v>14.727787684884087</v>
      </c>
      <c r="J373" s="200">
        <v>8.0562257421588157</v>
      </c>
      <c r="K373" s="201">
        <v>51.445639187574677</v>
      </c>
      <c r="L373" s="200">
        <v>32.258064516129032</v>
      </c>
      <c r="M373" s="203">
        <v>16.296296296296298</v>
      </c>
      <c r="N373" s="434"/>
      <c r="O373" s="202">
        <v>76.406624102154836</v>
      </c>
      <c r="P373" s="200">
        <v>12.270550678371906</v>
      </c>
      <c r="Q373" s="200">
        <v>11.322825219473264</v>
      </c>
      <c r="R373" s="201">
        <v>64.645308924485121</v>
      </c>
      <c r="S373" s="200">
        <v>20.251716247139587</v>
      </c>
      <c r="T373" s="200">
        <v>15.102974828375288</v>
      </c>
      <c r="U373" s="202">
        <v>80.261874912940527</v>
      </c>
      <c r="V373" s="200">
        <v>14.612062961415241</v>
      </c>
      <c r="W373" s="200">
        <v>5.12606212564424</v>
      </c>
      <c r="X373" s="201">
        <v>58.642765685019207</v>
      </c>
      <c r="Y373" s="200">
        <v>41.357234314980793</v>
      </c>
      <c r="Z373" s="203">
        <v>0</v>
      </c>
      <c r="AA373" s="200">
        <v>69.83360171765969</v>
      </c>
      <c r="AB373" s="204">
        <v>28.39506172839506</v>
      </c>
      <c r="AC373" s="200">
        <v>1.7713365539452495</v>
      </c>
      <c r="AD373" s="201">
        <v>0</v>
      </c>
      <c r="AE373" s="200">
        <v>63.427109974424553</v>
      </c>
      <c r="AF373" s="205">
        <v>36.572890025575447</v>
      </c>
    </row>
    <row r="374" spans="1:32" x14ac:dyDescent="0.25">
      <c r="A374" s="199" t="s">
        <v>670</v>
      </c>
      <c r="B374" s="200">
        <v>84.887168506012188</v>
      </c>
      <c r="C374" s="200">
        <v>8.6064898698731671</v>
      </c>
      <c r="D374" s="200">
        <v>6.5063416241146435</v>
      </c>
      <c r="E374" s="201">
        <v>59.588523971309925</v>
      </c>
      <c r="F374" s="200">
        <v>13.807097017742546</v>
      </c>
      <c r="G374" s="200">
        <v>26.604379010947525</v>
      </c>
      <c r="H374" s="202">
        <v>85.159997371706424</v>
      </c>
      <c r="I374" s="200">
        <v>8.5715224390564426</v>
      </c>
      <c r="J374" s="200">
        <v>6.2684801892371382</v>
      </c>
      <c r="K374" s="201">
        <v>52.709611451942742</v>
      </c>
      <c r="L374" s="200">
        <v>24.284253578732105</v>
      </c>
      <c r="M374" s="203">
        <v>23.006134969325153</v>
      </c>
      <c r="N374" s="434"/>
      <c r="O374" s="202">
        <v>84.397879323403174</v>
      </c>
      <c r="P374" s="200">
        <v>8.930825549103762</v>
      </c>
      <c r="Q374" s="200">
        <v>6.6712951274930568</v>
      </c>
      <c r="R374" s="201">
        <v>47.296402560141246</v>
      </c>
      <c r="S374" s="200">
        <v>21.805340984330172</v>
      </c>
      <c r="T374" s="200">
        <v>30.898256455528582</v>
      </c>
      <c r="U374" s="202">
        <v>85.855828530987765</v>
      </c>
      <c r="V374" s="200">
        <v>9.372156505914468</v>
      </c>
      <c r="W374" s="200">
        <v>4.7720149630977655</v>
      </c>
      <c r="X374" s="201">
        <v>59.748172217709183</v>
      </c>
      <c r="Y374" s="200">
        <v>24.004874086108856</v>
      </c>
      <c r="Z374" s="203">
        <v>16.246953696181965</v>
      </c>
      <c r="AA374" s="200">
        <v>86.264086753136297</v>
      </c>
      <c r="AB374" s="204">
        <v>5.6772273017223052</v>
      </c>
      <c r="AC374" s="200">
        <v>8.0586859451413986</v>
      </c>
      <c r="AD374" s="201">
        <v>61.325301204819283</v>
      </c>
      <c r="AE374" s="200">
        <v>38.674698795180724</v>
      </c>
      <c r="AF374" s="205">
        <v>0</v>
      </c>
    </row>
    <row r="375" spans="1:32" x14ac:dyDescent="0.25">
      <c r="A375" s="199" t="s">
        <v>671</v>
      </c>
      <c r="B375" s="200">
        <v>81.403554413749362</v>
      </c>
      <c r="C375" s="200">
        <v>12.721744361880294</v>
      </c>
      <c r="D375" s="200">
        <v>5.8747012243703356</v>
      </c>
      <c r="E375" s="201">
        <v>58.742642668258981</v>
      </c>
      <c r="F375" s="200">
        <v>19.302226392561632</v>
      </c>
      <c r="G375" s="200">
        <v>21.955130939179391</v>
      </c>
      <c r="H375" s="202">
        <v>82.231378963261193</v>
      </c>
      <c r="I375" s="200">
        <v>12.657272269753397</v>
      </c>
      <c r="J375" s="200">
        <v>5.1113487669854054</v>
      </c>
      <c r="K375" s="201">
        <v>52.055868310411171</v>
      </c>
      <c r="L375" s="200">
        <v>22.945913204589182</v>
      </c>
      <c r="M375" s="203">
        <v>24.998218484999644</v>
      </c>
      <c r="N375" s="434"/>
      <c r="O375" s="202">
        <v>83.3103056685909</v>
      </c>
      <c r="P375" s="200">
        <v>11.515094161067474</v>
      </c>
      <c r="Q375" s="200">
        <v>5.1746001703416296</v>
      </c>
      <c r="R375" s="201">
        <v>63.317274604267041</v>
      </c>
      <c r="S375" s="200">
        <v>17.853865565496672</v>
      </c>
      <c r="T375" s="200">
        <v>18.82885983023629</v>
      </c>
      <c r="U375" s="202">
        <v>80.223615329929558</v>
      </c>
      <c r="V375" s="200">
        <v>14.851677114974471</v>
      </c>
      <c r="W375" s="200">
        <v>4.9247075550959734</v>
      </c>
      <c r="X375" s="201">
        <v>40.441176470588239</v>
      </c>
      <c r="Y375" s="200">
        <v>44.283088235294116</v>
      </c>
      <c r="Z375" s="203">
        <v>15.275735294117649</v>
      </c>
      <c r="AA375" s="200">
        <v>82.673566192324273</v>
      </c>
      <c r="AB375" s="204">
        <v>11.996550237171194</v>
      </c>
      <c r="AC375" s="200">
        <v>5.3298835705045278</v>
      </c>
      <c r="AD375" s="201">
        <v>26.396917148362238</v>
      </c>
      <c r="AE375" s="200">
        <v>17.687861271676301</v>
      </c>
      <c r="AF375" s="205">
        <v>55.915221579961461</v>
      </c>
    </row>
    <row r="376" spans="1:32" x14ac:dyDescent="0.25">
      <c r="A376" s="199" t="s">
        <v>672</v>
      </c>
      <c r="B376" s="200">
        <v>75.206087507926441</v>
      </c>
      <c r="C376" s="200">
        <v>17.953392517438175</v>
      </c>
      <c r="D376" s="200">
        <v>6.8405199746353844</v>
      </c>
      <c r="E376" s="201">
        <v>64.074097979732784</v>
      </c>
      <c r="F376" s="200">
        <v>18.324404569805719</v>
      </c>
      <c r="G376" s="200">
        <v>17.601497450461498</v>
      </c>
      <c r="H376" s="202">
        <v>84.519109994616898</v>
      </c>
      <c r="I376" s="200">
        <v>10.070877444823255</v>
      </c>
      <c r="J376" s="200">
        <v>5.4100125605598421</v>
      </c>
      <c r="K376" s="201">
        <v>42.98395356777057</v>
      </c>
      <c r="L376" s="200">
        <v>32.826903379993169</v>
      </c>
      <c r="M376" s="203">
        <v>24.189143052236258</v>
      </c>
      <c r="N376" s="434"/>
      <c r="O376" s="202">
        <v>82.572720293440256</v>
      </c>
      <c r="P376" s="200">
        <v>12.351787085217095</v>
      </c>
      <c r="Q376" s="200">
        <v>5.0754926213426597</v>
      </c>
      <c r="R376" s="201">
        <v>61.254501800720284</v>
      </c>
      <c r="S376" s="200">
        <v>25.780312124849942</v>
      </c>
      <c r="T376" s="200">
        <v>12.965186074429772</v>
      </c>
      <c r="U376" s="202">
        <v>86.339797536284919</v>
      </c>
      <c r="V376" s="200">
        <v>7.537504573728504</v>
      </c>
      <c r="W376" s="200">
        <v>6.1226978899865836</v>
      </c>
      <c r="X376" s="201">
        <v>19.666182873730044</v>
      </c>
      <c r="Y376" s="200">
        <v>47.822931785195941</v>
      </c>
      <c r="Z376" s="203">
        <v>32.510885341074022</v>
      </c>
      <c r="AA376" s="200">
        <v>87.848101265822791</v>
      </c>
      <c r="AB376" s="204">
        <v>7.5527426160337559</v>
      </c>
      <c r="AC376" s="200">
        <v>4.5991561181434593</v>
      </c>
      <c r="AD376" s="201">
        <v>17.94425087108014</v>
      </c>
      <c r="AE376" s="200">
        <v>35.278745644599304</v>
      </c>
      <c r="AF376" s="205">
        <v>46.777003484320559</v>
      </c>
    </row>
    <row r="377" spans="1:32" x14ac:dyDescent="0.25">
      <c r="A377" s="199" t="s">
        <v>673</v>
      </c>
      <c r="B377" s="200">
        <v>81.811547933959687</v>
      </c>
      <c r="C377" s="200">
        <v>13.27191462191006</v>
      </c>
      <c r="D377" s="200">
        <v>4.9165374441302561</v>
      </c>
      <c r="E377" s="201">
        <v>59.486562374649019</v>
      </c>
      <c r="F377" s="200">
        <v>10.603021794357534</v>
      </c>
      <c r="G377" s="200">
        <v>29.910415830993447</v>
      </c>
      <c r="H377" s="202">
        <v>75.070634771143347</v>
      </c>
      <c r="I377" s="200">
        <v>17.135995479374646</v>
      </c>
      <c r="J377" s="200">
        <v>7.7933697494820109</v>
      </c>
      <c r="K377" s="201">
        <v>57.116388748526191</v>
      </c>
      <c r="L377" s="200">
        <v>25.21475492673067</v>
      </c>
      <c r="M377" s="203">
        <v>17.668856324743139</v>
      </c>
      <c r="N377" s="434"/>
      <c r="O377" s="202">
        <v>77.54087993495348</v>
      </c>
      <c r="P377" s="200">
        <v>14.924564097931158</v>
      </c>
      <c r="Q377" s="200">
        <v>7.5345559671153666</v>
      </c>
      <c r="R377" s="201">
        <v>58.31533477321814</v>
      </c>
      <c r="S377" s="200">
        <v>23.704103671706264</v>
      </c>
      <c r="T377" s="200">
        <v>17.980561555075596</v>
      </c>
      <c r="U377" s="202">
        <v>73.137755102040813</v>
      </c>
      <c r="V377" s="200">
        <v>18.89030612244898</v>
      </c>
      <c r="W377" s="200">
        <v>7.9719387755102042</v>
      </c>
      <c r="X377" s="201">
        <v>53.307642903018625</v>
      </c>
      <c r="Y377" s="200">
        <v>35.324341682723187</v>
      </c>
      <c r="Z377" s="203">
        <v>11.368015414258188</v>
      </c>
      <c r="AA377" s="200">
        <v>69.862424763542563</v>
      </c>
      <c r="AB377" s="204">
        <v>21.711092003439379</v>
      </c>
      <c r="AC377" s="200">
        <v>8.4264832330180557</v>
      </c>
      <c r="AD377" s="201">
        <v>59.407407407407412</v>
      </c>
      <c r="AE377" s="200">
        <v>10.222222222222223</v>
      </c>
      <c r="AF377" s="205">
        <v>30.37037037037037</v>
      </c>
    </row>
    <row r="378" spans="1:32" x14ac:dyDescent="0.25">
      <c r="A378" s="199" t="s">
        <v>674</v>
      </c>
      <c r="B378" s="200">
        <v>70.572845484009534</v>
      </c>
      <c r="C378" s="200">
        <v>17.997578976141202</v>
      </c>
      <c r="D378" s="200">
        <v>11.429575539849273</v>
      </c>
      <c r="E378" s="201">
        <v>51.31749620131194</v>
      </c>
      <c r="F378" s="200">
        <v>19.99036430345032</v>
      </c>
      <c r="G378" s="200">
        <v>28.69213949523774</v>
      </c>
      <c r="H378" s="202">
        <v>68.010610079575599</v>
      </c>
      <c r="I378" s="200">
        <v>17.803231251507114</v>
      </c>
      <c r="J378" s="200">
        <v>14.18615866891729</v>
      </c>
      <c r="K378" s="201">
        <v>45.59633805204713</v>
      </c>
      <c r="L378" s="200">
        <v>29.0921420700178</v>
      </c>
      <c r="M378" s="203">
        <v>25.311519877935069</v>
      </c>
      <c r="N378" s="434"/>
      <c r="O378" s="202">
        <v>67.370644139387537</v>
      </c>
      <c r="P378" s="200">
        <v>20.22863964005326</v>
      </c>
      <c r="Q378" s="200">
        <v>12.400716220559204</v>
      </c>
      <c r="R378" s="201">
        <v>46.061135371179041</v>
      </c>
      <c r="S378" s="200">
        <v>28.157205240174672</v>
      </c>
      <c r="T378" s="200">
        <v>25.78165938864629</v>
      </c>
      <c r="U378" s="202">
        <v>69.509079610577913</v>
      </c>
      <c r="V378" s="200">
        <v>12.932403507560588</v>
      </c>
      <c r="W378" s="200">
        <v>17.558516881861493</v>
      </c>
      <c r="X378" s="201">
        <v>54.203362690152126</v>
      </c>
      <c r="Y378" s="200">
        <v>25.086736055511079</v>
      </c>
      <c r="Z378" s="203">
        <v>20.709901254336803</v>
      </c>
      <c r="AA378" s="200">
        <v>66.519400691509802</v>
      </c>
      <c r="AB378" s="204">
        <v>21.206300422589319</v>
      </c>
      <c r="AC378" s="200">
        <v>12.274298885900883</v>
      </c>
      <c r="AD378" s="201">
        <v>30.58064516129032</v>
      </c>
      <c r="AE378" s="200">
        <v>37.8494623655914</v>
      </c>
      <c r="AF378" s="205">
        <v>31.569892473118276</v>
      </c>
    </row>
    <row r="379" spans="1:32" x14ac:dyDescent="0.25">
      <c r="A379" s="199" t="s">
        <v>675</v>
      </c>
      <c r="B379" s="200">
        <v>75.900702987697713</v>
      </c>
      <c r="C379" s="200">
        <v>17.516110134739311</v>
      </c>
      <c r="D379" s="200">
        <v>6.5831868775629756</v>
      </c>
      <c r="E379" s="201">
        <v>55.667720749209437</v>
      </c>
      <c r="F379" s="200">
        <v>21.551933836049621</v>
      </c>
      <c r="G379" s="200">
        <v>22.780345414740939</v>
      </c>
      <c r="H379" s="202">
        <v>74.070927060507131</v>
      </c>
      <c r="I379" s="200">
        <v>16.327534546755512</v>
      </c>
      <c r="J379" s="200">
        <v>9.6015383927373552</v>
      </c>
      <c r="K379" s="201">
        <v>57.209889911568311</v>
      </c>
      <c r="L379" s="200">
        <v>19.797870420501713</v>
      </c>
      <c r="M379" s="203">
        <v>22.992239667929976</v>
      </c>
      <c r="N379" s="434"/>
      <c r="O379" s="202">
        <v>72.691848906560637</v>
      </c>
      <c r="P379" s="200">
        <v>16.842942345924452</v>
      </c>
      <c r="Q379" s="200">
        <v>10.465208747514911</v>
      </c>
      <c r="R379" s="201">
        <v>60.913421126365932</v>
      </c>
      <c r="S379" s="200">
        <v>16.587279349957971</v>
      </c>
      <c r="T379" s="200">
        <v>22.4992995236761</v>
      </c>
      <c r="U379" s="202">
        <v>77.162815690488983</v>
      </c>
      <c r="V379" s="200">
        <v>13.379903277807632</v>
      </c>
      <c r="W379" s="200">
        <v>9.4572810317033849</v>
      </c>
      <c r="X379" s="201">
        <v>50.697969543147202</v>
      </c>
      <c r="Y379" s="200">
        <v>31.218274111675125</v>
      </c>
      <c r="Z379" s="203">
        <v>18.083756345177665</v>
      </c>
      <c r="AA379" s="200">
        <v>71.678769756514313</v>
      </c>
      <c r="AB379" s="204">
        <v>22.896198205894915</v>
      </c>
      <c r="AC379" s="200">
        <v>5.425032037590773</v>
      </c>
      <c r="AD379" s="201">
        <v>50</v>
      </c>
      <c r="AE379" s="200">
        <v>3.0456852791878175</v>
      </c>
      <c r="AF379" s="205">
        <v>46.954314720812185</v>
      </c>
    </row>
    <row r="380" spans="1:32" x14ac:dyDescent="0.25">
      <c r="A380" s="199" t="s">
        <v>676</v>
      </c>
      <c r="B380" s="200">
        <v>77.964746153107896</v>
      </c>
      <c r="C380" s="200">
        <v>13.253782910521769</v>
      </c>
      <c r="D380" s="200">
        <v>8.7814709363703258</v>
      </c>
      <c r="E380" s="201">
        <v>50.38182816846507</v>
      </c>
      <c r="F380" s="200">
        <v>22.624426371835078</v>
      </c>
      <c r="G380" s="200">
        <v>26.993745459699852</v>
      </c>
      <c r="H380" s="202">
        <v>76.586696251097862</v>
      </c>
      <c r="I380" s="200">
        <v>12.467988720935608</v>
      </c>
      <c r="J380" s="200">
        <v>10.945315027966533</v>
      </c>
      <c r="K380" s="201">
        <v>56.863304223846015</v>
      </c>
      <c r="L380" s="200">
        <v>19.950098021743003</v>
      </c>
      <c r="M380" s="203">
        <v>23.186597754410979</v>
      </c>
      <c r="N380" s="434"/>
      <c r="O380" s="202">
        <v>78.528959149412429</v>
      </c>
      <c r="P380" s="200">
        <v>10.896404588696139</v>
      </c>
      <c r="Q380" s="200">
        <v>10.574636261891438</v>
      </c>
      <c r="R380" s="201">
        <v>60.419181389224185</v>
      </c>
      <c r="S380" s="200">
        <v>19.340502578733677</v>
      </c>
      <c r="T380" s="200">
        <v>20.240316032042138</v>
      </c>
      <c r="U380" s="202">
        <v>74.786578289015551</v>
      </c>
      <c r="V380" s="200">
        <v>12.833672916720399</v>
      </c>
      <c r="W380" s="200">
        <v>12.379748794264049</v>
      </c>
      <c r="X380" s="201">
        <v>43.23202372127502</v>
      </c>
      <c r="Y380" s="200">
        <v>24.24017790956264</v>
      </c>
      <c r="Z380" s="203">
        <v>32.52779836916234</v>
      </c>
      <c r="AA380" s="200">
        <v>73.206094364351245</v>
      </c>
      <c r="AB380" s="204">
        <v>18.66808650065531</v>
      </c>
      <c r="AC380" s="200">
        <v>8.1258191349934457</v>
      </c>
      <c r="AD380" s="201">
        <v>65.661478599221795</v>
      </c>
      <c r="AE380" s="200">
        <v>14.202334630350194</v>
      </c>
      <c r="AF380" s="205">
        <v>20.136186770428015</v>
      </c>
    </row>
    <row r="381" spans="1:32" x14ac:dyDescent="0.25">
      <c r="A381" s="199" t="s">
        <v>677</v>
      </c>
      <c r="B381" s="200">
        <v>70.742278388612618</v>
      </c>
      <c r="C381" s="200">
        <v>20.47652721383275</v>
      </c>
      <c r="D381" s="200">
        <v>8.781194397554632</v>
      </c>
      <c r="E381" s="201">
        <v>56.309499399513754</v>
      </c>
      <c r="F381" s="200">
        <v>20.161691906617065</v>
      </c>
      <c r="G381" s="200">
        <v>23.528808693869184</v>
      </c>
      <c r="H381" s="202">
        <v>68.508703847433196</v>
      </c>
      <c r="I381" s="200">
        <v>16.106737627970581</v>
      </c>
      <c r="J381" s="200">
        <v>15.384558524596223</v>
      </c>
      <c r="K381" s="201">
        <v>54.82268818243309</v>
      </c>
      <c r="L381" s="200">
        <v>20.875446903082423</v>
      </c>
      <c r="M381" s="203">
        <v>24.30186491448449</v>
      </c>
      <c r="N381" s="434"/>
      <c r="O381" s="202">
        <v>70.526633287084522</v>
      </c>
      <c r="P381" s="200">
        <v>15.422573445134823</v>
      </c>
      <c r="Q381" s="200">
        <v>14.050793267780659</v>
      </c>
      <c r="R381" s="201">
        <v>55.869732291533239</v>
      </c>
      <c r="S381" s="200">
        <v>20.837069296784936</v>
      </c>
      <c r="T381" s="200">
        <v>23.293198411681821</v>
      </c>
      <c r="U381" s="202">
        <v>67.080435638367661</v>
      </c>
      <c r="V381" s="200">
        <v>16.758955517648602</v>
      </c>
      <c r="W381" s="200">
        <v>16.160608843983727</v>
      </c>
      <c r="X381" s="201">
        <v>56.833695314923979</v>
      </c>
      <c r="Y381" s="200">
        <v>22.192057089668012</v>
      </c>
      <c r="Z381" s="203">
        <v>20.974247595408006</v>
      </c>
      <c r="AA381" s="200">
        <v>60.614114849269072</v>
      </c>
      <c r="AB381" s="204">
        <v>18.332517311324054</v>
      </c>
      <c r="AC381" s="200">
        <v>21.053367839406871</v>
      </c>
      <c r="AD381" s="201">
        <v>47.147540983606554</v>
      </c>
      <c r="AE381" s="200">
        <v>18.806557377049181</v>
      </c>
      <c r="AF381" s="205">
        <v>34.045901639344258</v>
      </c>
    </row>
    <row r="382" spans="1:32" x14ac:dyDescent="0.25">
      <c r="A382" s="199" t="s">
        <v>678</v>
      </c>
      <c r="B382" s="200">
        <v>72.388825541619156</v>
      </c>
      <c r="C382" s="200">
        <v>20.604332953249717</v>
      </c>
      <c r="D382" s="200">
        <v>7.0068415051311286</v>
      </c>
      <c r="E382" s="201">
        <v>54.887587937226343</v>
      </c>
      <c r="F382" s="200">
        <v>22.379101687410831</v>
      </c>
      <c r="G382" s="200">
        <v>22.733310375362816</v>
      </c>
      <c r="H382" s="202">
        <v>75.403730802188392</v>
      </c>
      <c r="I382" s="200">
        <v>12.471162085557973</v>
      </c>
      <c r="J382" s="200">
        <v>12.125107112253641</v>
      </c>
      <c r="K382" s="201">
        <v>49.054949337490257</v>
      </c>
      <c r="L382" s="200">
        <v>27.805923616523771</v>
      </c>
      <c r="M382" s="203">
        <v>23.139127045985973</v>
      </c>
      <c r="N382" s="434"/>
      <c r="O382" s="202">
        <v>70.477084678129216</v>
      </c>
      <c r="P382" s="200">
        <v>14.353617745437475</v>
      </c>
      <c r="Q382" s="200">
        <v>15.169297576433308</v>
      </c>
      <c r="R382" s="201">
        <v>57.711063700091437</v>
      </c>
      <c r="S382" s="200">
        <v>28.299298994209082</v>
      </c>
      <c r="T382" s="200">
        <v>13.989637305699482</v>
      </c>
      <c r="U382" s="202">
        <v>80.405734906856523</v>
      </c>
      <c r="V382" s="200">
        <v>11.713644786891642</v>
      </c>
      <c r="W382" s="200">
        <v>7.8806203062518287</v>
      </c>
      <c r="X382" s="201">
        <v>27.922330097087379</v>
      </c>
      <c r="Y382" s="200">
        <v>24.854368932038835</v>
      </c>
      <c r="Z382" s="203">
        <v>47.223300970873787</v>
      </c>
      <c r="AA382" s="200">
        <v>86.122047244094489</v>
      </c>
      <c r="AB382" s="204">
        <v>4.4947506561679793</v>
      </c>
      <c r="AC382" s="200">
        <v>9.3832020997375327</v>
      </c>
      <c r="AD382" s="201">
        <v>46.938775510204081</v>
      </c>
      <c r="AE382" s="200">
        <v>31.677018633540371</v>
      </c>
      <c r="AF382" s="205">
        <v>21.384205856255544</v>
      </c>
    </row>
    <row r="383" spans="1:32" x14ac:dyDescent="0.25">
      <c r="A383" s="199" t="s">
        <v>679</v>
      </c>
      <c r="B383" s="200">
        <v>73.280382479950646</v>
      </c>
      <c r="C383" s="200">
        <v>18.158158544108574</v>
      </c>
      <c r="D383" s="200">
        <v>8.5614589759407771</v>
      </c>
      <c r="E383" s="201">
        <v>51.769038537419441</v>
      </c>
      <c r="F383" s="200">
        <v>24.301810688763208</v>
      </c>
      <c r="G383" s="200">
        <v>23.929150773817355</v>
      </c>
      <c r="H383" s="202">
        <v>72.176982630671105</v>
      </c>
      <c r="I383" s="200">
        <v>18.543329723080216</v>
      </c>
      <c r="J383" s="200">
        <v>9.2796876462486804</v>
      </c>
      <c r="K383" s="201">
        <v>48.172268907563023</v>
      </c>
      <c r="L383" s="200">
        <v>28.082983193277311</v>
      </c>
      <c r="M383" s="203">
        <v>23.744747899159663</v>
      </c>
      <c r="N383" s="434"/>
      <c r="O383" s="202">
        <v>74.05485191886487</v>
      </c>
      <c r="P383" s="200">
        <v>16.193695838491571</v>
      </c>
      <c r="Q383" s="200">
        <v>9.7514522426435573</v>
      </c>
      <c r="R383" s="201">
        <v>48.2876404494382</v>
      </c>
      <c r="S383" s="200">
        <v>28.737078651685394</v>
      </c>
      <c r="T383" s="200">
        <v>22.975280898876406</v>
      </c>
      <c r="U383" s="202">
        <v>70.11098201049721</v>
      </c>
      <c r="V383" s="200">
        <v>21.242838254737769</v>
      </c>
      <c r="W383" s="200">
        <v>8.6461797347650151</v>
      </c>
      <c r="X383" s="201">
        <v>56.288280930992244</v>
      </c>
      <c r="Y383" s="200">
        <v>18.681094324213966</v>
      </c>
      <c r="Z383" s="203">
        <v>25.030624744793794</v>
      </c>
      <c r="AA383" s="200">
        <v>68.686094069529659</v>
      </c>
      <c r="AB383" s="204">
        <v>22.54601226993865</v>
      </c>
      <c r="AC383" s="200">
        <v>8.7678936605316977</v>
      </c>
      <c r="AD383" s="201">
        <v>34.570765661252899</v>
      </c>
      <c r="AE383" s="200">
        <v>40.934703347696392</v>
      </c>
      <c r="AF383" s="205">
        <v>24.494530991050713</v>
      </c>
    </row>
    <row r="384" spans="1:32" x14ac:dyDescent="0.25">
      <c r="A384" s="199" t="s">
        <v>680</v>
      </c>
      <c r="B384" s="200">
        <v>81.477945388581247</v>
      </c>
      <c r="C384" s="200">
        <v>10.05028324104131</v>
      </c>
      <c r="D384" s="200">
        <v>8.4717713703774429</v>
      </c>
      <c r="E384" s="201">
        <v>56.312496921333924</v>
      </c>
      <c r="F384" s="200">
        <v>14.252992463425446</v>
      </c>
      <c r="G384" s="200">
        <v>29.434510615240626</v>
      </c>
      <c r="H384" s="202">
        <v>79.394579811039279</v>
      </c>
      <c r="I384" s="200">
        <v>12.142146764225332</v>
      </c>
      <c r="J384" s="200">
        <v>8.4632734247353838</v>
      </c>
      <c r="K384" s="201">
        <v>51.611678630590831</v>
      </c>
      <c r="L384" s="200">
        <v>22.449613473219216</v>
      </c>
      <c r="M384" s="203">
        <v>25.93870789618995</v>
      </c>
      <c r="N384" s="434"/>
      <c r="O384" s="202">
        <v>78.823408236485676</v>
      </c>
      <c r="P384" s="200">
        <v>11.965049010351398</v>
      </c>
      <c r="Q384" s="200">
        <v>9.2115427531629273</v>
      </c>
      <c r="R384" s="201">
        <v>52.044674539002969</v>
      </c>
      <c r="S384" s="200">
        <v>20.382758420103542</v>
      </c>
      <c r="T384" s="200">
        <v>27.572567040893492</v>
      </c>
      <c r="U384" s="202">
        <v>78.971684858964664</v>
      </c>
      <c r="V384" s="200">
        <v>12.487841781043986</v>
      </c>
      <c r="W384" s="200">
        <v>8.5404733599913545</v>
      </c>
      <c r="X384" s="201">
        <v>54.82369534555712</v>
      </c>
      <c r="Y384" s="200">
        <v>25.952045133991536</v>
      </c>
      <c r="Z384" s="203">
        <v>19.224259520451341</v>
      </c>
      <c r="AA384" s="200">
        <v>82.214281597602451</v>
      </c>
      <c r="AB384" s="204">
        <v>11.999308397210536</v>
      </c>
      <c r="AC384" s="200">
        <v>5.7864100051870215</v>
      </c>
      <c r="AD384" s="201">
        <v>45.175718849840258</v>
      </c>
      <c r="AE384" s="200">
        <v>24.728434504792332</v>
      </c>
      <c r="AF384" s="205">
        <v>30.095846645367413</v>
      </c>
    </row>
    <row r="385" spans="1:32" x14ac:dyDescent="0.25">
      <c r="A385" s="199" t="s">
        <v>681</v>
      </c>
      <c r="B385" s="200">
        <v>67.938648488441018</v>
      </c>
      <c r="C385" s="200">
        <v>23.710729104919974</v>
      </c>
      <c r="D385" s="200">
        <v>8.3506224066390029</v>
      </c>
      <c r="E385" s="201">
        <v>45.484574633842314</v>
      </c>
      <c r="F385" s="200">
        <v>32.196946089124339</v>
      </c>
      <c r="G385" s="200">
        <v>22.318479277033344</v>
      </c>
      <c r="H385" s="202">
        <v>67.86183213816787</v>
      </c>
      <c r="I385" s="200">
        <v>16.462983537016463</v>
      </c>
      <c r="J385" s="200">
        <v>15.675184324815675</v>
      </c>
      <c r="K385" s="201">
        <v>29.835725913867101</v>
      </c>
      <c r="L385" s="200">
        <v>32.203640668935918</v>
      </c>
      <c r="M385" s="203">
        <v>37.960633417196981</v>
      </c>
      <c r="N385" s="434"/>
      <c r="O385" s="202">
        <v>67.353324641460233</v>
      </c>
      <c r="P385" s="200">
        <v>20.53889613211647</v>
      </c>
      <c r="Q385" s="200">
        <v>12.107779226423295</v>
      </c>
      <c r="R385" s="201">
        <v>37.950421671351904</v>
      </c>
      <c r="S385" s="200">
        <v>27.089189879887556</v>
      </c>
      <c r="T385" s="200">
        <v>34.96038844876054</v>
      </c>
      <c r="U385" s="202">
        <v>63.253299411671172</v>
      </c>
      <c r="V385" s="200">
        <v>13.19764668468755</v>
      </c>
      <c r="W385" s="200">
        <v>23.54905390364128</v>
      </c>
      <c r="X385" s="201">
        <v>27.137546468401485</v>
      </c>
      <c r="Y385" s="200">
        <v>29.491945477075589</v>
      </c>
      <c r="Z385" s="203">
        <v>43.370508054522929</v>
      </c>
      <c r="AA385" s="200">
        <v>85.209163346613551</v>
      </c>
      <c r="AB385" s="204">
        <v>3.336653386454183</v>
      </c>
      <c r="AC385" s="200">
        <v>11.454183266932271</v>
      </c>
      <c r="AD385" s="201">
        <v>7.5609756097560972</v>
      </c>
      <c r="AE385" s="200">
        <v>52.032520325203258</v>
      </c>
      <c r="AF385" s="205">
        <v>40.40650406504065</v>
      </c>
    </row>
    <row r="386" spans="1:32" ht="15.75" thickBot="1" x14ac:dyDescent="0.3">
      <c r="A386" s="206" t="s">
        <v>682</v>
      </c>
      <c r="B386" s="207">
        <v>60.428088183832962</v>
      </c>
      <c r="C386" s="207">
        <v>28.665577977370816</v>
      </c>
      <c r="D386" s="207">
        <v>10.906333838796222</v>
      </c>
      <c r="E386" s="208">
        <v>48.863913999511361</v>
      </c>
      <c r="F386" s="207">
        <v>21.292450525287077</v>
      </c>
      <c r="G386" s="207">
        <v>29.843635475201562</v>
      </c>
      <c r="H386" s="209">
        <v>81.713772096274838</v>
      </c>
      <c r="I386" s="207">
        <v>11.744731848596825</v>
      </c>
      <c r="J386" s="207">
        <v>6.5414960551283334</v>
      </c>
      <c r="K386" s="208">
        <v>56.582174979558467</v>
      </c>
      <c r="L386" s="207">
        <v>19.85554647042791</v>
      </c>
      <c r="M386" s="210">
        <v>23.562278550013627</v>
      </c>
      <c r="N386" s="435"/>
      <c r="O386" s="209">
        <v>79.517978316823957</v>
      </c>
      <c r="P386" s="207">
        <v>13.922470946104049</v>
      </c>
      <c r="Q386" s="207">
        <v>6.5595507370719908</v>
      </c>
      <c r="R386" s="208">
        <v>56.811480243758602</v>
      </c>
      <c r="S386" s="207">
        <v>15.136622763908001</v>
      </c>
      <c r="T386" s="207">
        <v>28.051896992333397</v>
      </c>
      <c r="U386" s="209">
        <v>83.938843475628218</v>
      </c>
      <c r="V386" s="207">
        <v>9.3021495610051463</v>
      </c>
      <c r="W386" s="207">
        <v>6.7590069633666356</v>
      </c>
      <c r="X386" s="208">
        <v>57.094972067039109</v>
      </c>
      <c r="Y386" s="207">
        <v>29.217877094972067</v>
      </c>
      <c r="Z386" s="210">
        <v>13.687150837988826</v>
      </c>
      <c r="AA386" s="207">
        <v>81.402895656515227</v>
      </c>
      <c r="AB386" s="211">
        <v>12.830753869196206</v>
      </c>
      <c r="AC386" s="207">
        <v>5.7663504742885676</v>
      </c>
      <c r="AD386" s="208">
        <v>52.060737527114966</v>
      </c>
      <c r="AE386" s="207">
        <v>35.574837310195228</v>
      </c>
      <c r="AF386" s="212">
        <v>12.364425162689804</v>
      </c>
    </row>
    <row r="388" spans="1:32" x14ac:dyDescent="0.25">
      <c r="A388" s="65" t="s">
        <v>293</v>
      </c>
    </row>
    <row r="389" spans="1:32" ht="15" customHeight="1" x14ac:dyDescent="0.25">
      <c r="A389" s="214" t="s">
        <v>109</v>
      </c>
      <c r="B389" s="215"/>
      <c r="C389" s="215"/>
      <c r="D389" s="215"/>
      <c r="E389" s="215"/>
      <c r="F389" s="215"/>
      <c r="G389" s="215"/>
      <c r="H389" s="215"/>
      <c r="I389" s="215"/>
      <c r="J389" s="215"/>
    </row>
    <row r="390" spans="1:32" x14ac:dyDescent="0.25">
      <c r="B390" s="215"/>
      <c r="C390" s="215"/>
      <c r="D390" s="215"/>
      <c r="E390" s="215"/>
      <c r="F390" s="215"/>
      <c r="G390" s="215"/>
      <c r="H390" s="215"/>
      <c r="I390" s="215"/>
      <c r="J390" s="215"/>
    </row>
  </sheetData>
  <mergeCells count="18">
    <mergeCell ref="E4:G4"/>
    <mergeCell ref="H4:J4"/>
    <mergeCell ref="K4:M4"/>
    <mergeCell ref="O4:Q4"/>
    <mergeCell ref="R4:T4"/>
    <mergeCell ref="U4:W4"/>
    <mergeCell ref="A2:AF2"/>
    <mergeCell ref="A3:A5"/>
    <mergeCell ref="B3:G3"/>
    <mergeCell ref="H3:M3"/>
    <mergeCell ref="N3:N386"/>
    <mergeCell ref="O3:T3"/>
    <mergeCell ref="U3:Z3"/>
    <mergeCell ref="AA3:AF3"/>
    <mergeCell ref="B4:D4"/>
    <mergeCell ref="X4:Z4"/>
    <mergeCell ref="AA4:AC4"/>
    <mergeCell ref="AD4:AF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workbookViewId="0">
      <pane ySplit="4" topLeftCell="A39" activePane="bottomLeft" state="frozen"/>
      <selection pane="bottomLeft" activeCell="M4" sqref="M4"/>
    </sheetView>
  </sheetViews>
  <sheetFormatPr defaultColWidth="8.85546875" defaultRowHeight="15" x14ac:dyDescent="0.25"/>
  <cols>
    <col min="1" max="1" width="14.85546875" style="58" customWidth="1"/>
    <col min="2" max="2" width="33.28515625" style="58" customWidth="1"/>
    <col min="3" max="3" width="10.85546875" style="58" bestFit="1" customWidth="1"/>
    <col min="4" max="4" width="11.7109375" style="58" customWidth="1"/>
    <col min="5" max="6" width="8.85546875" style="58"/>
    <col min="7" max="7" width="10" style="58" customWidth="1"/>
    <col min="8" max="8" width="8.85546875" style="58"/>
    <col min="9" max="9" width="11.7109375" style="58" customWidth="1"/>
    <col min="10" max="10" width="9.5703125" style="58" customWidth="1"/>
    <col min="11" max="11" width="9.42578125" style="58" customWidth="1"/>
    <col min="12" max="12" width="10" style="58" customWidth="1"/>
    <col min="13" max="13" width="9.85546875" style="58" customWidth="1"/>
    <col min="14" max="16384" width="8.85546875" style="58"/>
  </cols>
  <sheetData>
    <row r="1" spans="1:13" x14ac:dyDescent="0.25">
      <c r="A1" s="59" t="s">
        <v>237</v>
      </c>
    </row>
    <row r="2" spans="1:13" x14ac:dyDescent="0.25">
      <c r="B2" s="59"/>
    </row>
    <row r="3" spans="1:13" ht="15.75" thickBot="1" x14ac:dyDescent="0.3">
      <c r="A3" s="16" t="s">
        <v>689</v>
      </c>
      <c r="B3" s="16"/>
    </row>
    <row r="4" spans="1:13" ht="105" x14ac:dyDescent="0.25">
      <c r="A4" s="216" t="s">
        <v>166</v>
      </c>
      <c r="B4" s="123"/>
      <c r="C4" s="124" t="s">
        <v>218</v>
      </c>
      <c r="D4" s="124" t="s">
        <v>219</v>
      </c>
      <c r="E4" s="124" t="s">
        <v>220</v>
      </c>
      <c r="F4" s="124" t="s">
        <v>221</v>
      </c>
      <c r="G4" s="124" t="s">
        <v>222</v>
      </c>
      <c r="H4" s="124" t="s">
        <v>62</v>
      </c>
      <c r="I4" s="124" t="s">
        <v>63</v>
      </c>
      <c r="J4" s="124" t="s">
        <v>64</v>
      </c>
      <c r="K4" s="125" t="s">
        <v>65</v>
      </c>
      <c r="L4" s="125" t="s">
        <v>66</v>
      </c>
      <c r="M4" s="126" t="s">
        <v>67</v>
      </c>
    </row>
    <row r="5" spans="1:13" x14ac:dyDescent="0.25">
      <c r="A5" s="438" t="s">
        <v>223</v>
      </c>
      <c r="B5" s="27" t="s">
        <v>61</v>
      </c>
      <c r="C5" s="22">
        <v>186100</v>
      </c>
      <c r="D5" s="30">
        <v>80000</v>
      </c>
      <c r="E5" s="30">
        <v>40000</v>
      </c>
      <c r="F5" s="30">
        <v>7120</v>
      </c>
      <c r="G5" s="22">
        <v>9000</v>
      </c>
      <c r="H5" s="22">
        <v>1300</v>
      </c>
      <c r="I5" s="22">
        <v>51.55</v>
      </c>
      <c r="J5" s="22">
        <v>18.34</v>
      </c>
      <c r="K5" s="22">
        <v>94.47</v>
      </c>
      <c r="L5" s="22">
        <v>26.76</v>
      </c>
      <c r="M5" s="127">
        <v>11.79</v>
      </c>
    </row>
    <row r="6" spans="1:13" x14ac:dyDescent="0.25">
      <c r="A6" s="439"/>
      <c r="B6" s="164" t="s">
        <v>0</v>
      </c>
      <c r="C6" s="28"/>
      <c r="D6" s="29"/>
      <c r="E6" s="28"/>
      <c r="F6" s="28"/>
      <c r="G6" s="28"/>
      <c r="H6" s="28"/>
      <c r="I6" s="28"/>
      <c r="J6" s="28"/>
      <c r="K6" s="29"/>
      <c r="L6" s="29"/>
      <c r="M6" s="128"/>
    </row>
    <row r="7" spans="1:13" x14ac:dyDescent="0.25">
      <c r="A7" s="439"/>
      <c r="B7" s="25" t="s">
        <v>45</v>
      </c>
      <c r="C7" s="24">
        <v>267100</v>
      </c>
      <c r="D7" s="24">
        <v>93000</v>
      </c>
      <c r="E7" s="24">
        <v>40000</v>
      </c>
      <c r="F7" s="24">
        <v>10000</v>
      </c>
      <c r="G7" s="24">
        <v>10000</v>
      </c>
      <c r="H7" s="24">
        <v>1300</v>
      </c>
      <c r="I7" s="24">
        <v>58.05</v>
      </c>
      <c r="J7" s="24">
        <v>21.54</v>
      </c>
      <c r="K7" s="24">
        <v>97.45</v>
      </c>
      <c r="L7" s="24">
        <v>29.27</v>
      </c>
      <c r="M7" s="129">
        <v>13.8</v>
      </c>
    </row>
    <row r="8" spans="1:13" x14ac:dyDescent="0.25">
      <c r="A8" s="439"/>
      <c r="B8" s="21" t="s">
        <v>44</v>
      </c>
      <c r="C8" s="22">
        <v>6090</v>
      </c>
      <c r="D8" s="22">
        <v>18000</v>
      </c>
      <c r="E8" s="22">
        <v>8000</v>
      </c>
      <c r="F8" s="22">
        <v>1000</v>
      </c>
      <c r="G8" s="22">
        <v>5000</v>
      </c>
      <c r="H8" s="22">
        <v>1000</v>
      </c>
      <c r="I8" s="22">
        <v>26.28</v>
      </c>
      <c r="J8" s="22">
        <v>5.9</v>
      </c>
      <c r="K8" s="22">
        <v>82.86</v>
      </c>
      <c r="L8" s="22">
        <v>16.989999999999998</v>
      </c>
      <c r="M8" s="127">
        <v>3.96</v>
      </c>
    </row>
    <row r="9" spans="1:13" x14ac:dyDescent="0.25">
      <c r="A9" s="439"/>
      <c r="B9" s="164" t="s">
        <v>68</v>
      </c>
      <c r="C9" s="29"/>
      <c r="D9" s="29"/>
      <c r="E9" s="29"/>
      <c r="F9" s="29"/>
      <c r="G9" s="29"/>
      <c r="H9" s="29"/>
      <c r="I9" s="29"/>
      <c r="J9" s="29"/>
      <c r="K9" s="29"/>
      <c r="L9" s="29"/>
      <c r="M9" s="128"/>
    </row>
    <row r="10" spans="1:13" x14ac:dyDescent="0.25">
      <c r="A10" s="439"/>
      <c r="B10" s="25" t="s">
        <v>69</v>
      </c>
      <c r="C10" s="24">
        <v>32020</v>
      </c>
      <c r="D10" s="24">
        <v>20000</v>
      </c>
      <c r="E10" s="24">
        <v>35000</v>
      </c>
      <c r="F10" s="24">
        <v>1000</v>
      </c>
      <c r="G10" s="24">
        <v>3500</v>
      </c>
      <c r="H10" s="24">
        <v>300</v>
      </c>
      <c r="I10" s="24">
        <v>15.77</v>
      </c>
      <c r="J10" s="24">
        <v>5.46</v>
      </c>
      <c r="K10" s="24">
        <v>82.73</v>
      </c>
      <c r="L10" s="24">
        <v>17.71</v>
      </c>
      <c r="M10" s="129">
        <v>3.22</v>
      </c>
    </row>
    <row r="11" spans="1:13" x14ac:dyDescent="0.25">
      <c r="A11" s="439"/>
      <c r="B11" s="12" t="s">
        <v>70</v>
      </c>
      <c r="C11" s="17">
        <v>136380</v>
      </c>
      <c r="D11" s="17">
        <v>30000</v>
      </c>
      <c r="E11" s="17">
        <v>9600</v>
      </c>
      <c r="F11" s="17">
        <v>3800</v>
      </c>
      <c r="G11" s="17">
        <v>6000</v>
      </c>
      <c r="H11" s="17">
        <v>2200</v>
      </c>
      <c r="I11" s="17">
        <v>42.55</v>
      </c>
      <c r="J11" s="17">
        <v>11.1</v>
      </c>
      <c r="K11" s="17">
        <v>96.47</v>
      </c>
      <c r="L11" s="17">
        <v>26.34</v>
      </c>
      <c r="M11" s="130">
        <v>7.37</v>
      </c>
    </row>
    <row r="12" spans="1:13" x14ac:dyDescent="0.25">
      <c r="A12" s="439"/>
      <c r="B12" s="12" t="s">
        <v>71</v>
      </c>
      <c r="C12" s="17">
        <v>220205</v>
      </c>
      <c r="D12" s="17">
        <v>56000</v>
      </c>
      <c r="E12" s="17">
        <v>20000</v>
      </c>
      <c r="F12" s="17">
        <v>8600</v>
      </c>
      <c r="G12" s="17">
        <v>8000</v>
      </c>
      <c r="H12" s="17">
        <v>1000</v>
      </c>
      <c r="I12" s="17">
        <v>61.64</v>
      </c>
      <c r="J12" s="17">
        <v>17.760000000000002</v>
      </c>
      <c r="K12" s="17">
        <v>99.35</v>
      </c>
      <c r="L12" s="17">
        <v>29.69</v>
      </c>
      <c r="M12" s="130">
        <v>15.82</v>
      </c>
    </row>
    <row r="13" spans="1:13" x14ac:dyDescent="0.25">
      <c r="A13" s="439"/>
      <c r="B13" s="21" t="s">
        <v>72</v>
      </c>
      <c r="C13" s="22">
        <v>785000</v>
      </c>
      <c r="D13" s="22">
        <v>220000</v>
      </c>
      <c r="E13" s="22">
        <v>62000</v>
      </c>
      <c r="F13" s="22">
        <v>25600</v>
      </c>
      <c r="G13" s="22">
        <v>25000</v>
      </c>
      <c r="H13" s="22">
        <v>2000</v>
      </c>
      <c r="I13" s="22">
        <v>85.77</v>
      </c>
      <c r="J13" s="22">
        <v>38.119999999999997</v>
      </c>
      <c r="K13" s="22">
        <v>99.65</v>
      </c>
      <c r="L13" s="22">
        <v>33.340000000000003</v>
      </c>
      <c r="M13" s="127">
        <v>20.68</v>
      </c>
    </row>
    <row r="14" spans="1:13" x14ac:dyDescent="0.25">
      <c r="A14" s="439"/>
      <c r="B14" s="164" t="s">
        <v>92</v>
      </c>
      <c r="C14" s="29"/>
      <c r="D14" s="29"/>
      <c r="E14" s="29"/>
      <c r="F14" s="29"/>
      <c r="G14" s="29"/>
      <c r="H14" s="29"/>
      <c r="I14" s="29"/>
      <c r="J14" s="29"/>
      <c r="K14" s="29"/>
      <c r="L14" s="29"/>
      <c r="M14" s="128"/>
    </row>
    <row r="15" spans="1:13" x14ac:dyDescent="0.25">
      <c r="A15" s="439"/>
      <c r="B15" s="23" t="s">
        <v>90</v>
      </c>
      <c r="C15" s="24">
        <v>238000</v>
      </c>
      <c r="D15" s="24">
        <v>93000</v>
      </c>
      <c r="E15" s="24">
        <v>40000</v>
      </c>
      <c r="F15" s="24">
        <v>9500</v>
      </c>
      <c r="G15" s="24">
        <v>10000</v>
      </c>
      <c r="H15" s="24">
        <v>1200</v>
      </c>
      <c r="I15" s="24">
        <v>56.6</v>
      </c>
      <c r="J15" s="24">
        <v>20.85</v>
      </c>
      <c r="K15" s="24">
        <v>97.06</v>
      </c>
      <c r="L15" s="24">
        <v>29</v>
      </c>
      <c r="M15" s="129">
        <v>12.79</v>
      </c>
    </row>
    <row r="16" spans="1:13" x14ac:dyDescent="0.25">
      <c r="A16" s="439"/>
      <c r="B16" s="18" t="s">
        <v>91</v>
      </c>
      <c r="C16" s="17">
        <v>49681</v>
      </c>
      <c r="D16" s="17">
        <v>27000</v>
      </c>
      <c r="E16" s="17">
        <v>7500</v>
      </c>
      <c r="F16" s="17">
        <v>1650</v>
      </c>
      <c r="G16" s="85">
        <v>7000</v>
      </c>
      <c r="H16" s="17">
        <v>2000</v>
      </c>
      <c r="I16" s="17">
        <v>29.67</v>
      </c>
      <c r="J16" s="17">
        <v>8.2799999999999994</v>
      </c>
      <c r="K16" s="17">
        <v>82</v>
      </c>
      <c r="L16" s="17">
        <v>22.48</v>
      </c>
      <c r="M16" s="130">
        <v>9.58</v>
      </c>
    </row>
    <row r="17" spans="1:20" x14ac:dyDescent="0.25">
      <c r="A17" s="439"/>
      <c r="B17" s="18" t="s">
        <v>73</v>
      </c>
      <c r="C17" s="17">
        <v>71200</v>
      </c>
      <c r="D17" s="17">
        <v>32000</v>
      </c>
      <c r="E17" s="17">
        <v>5000</v>
      </c>
      <c r="F17" s="17">
        <v>2000</v>
      </c>
      <c r="G17" s="17">
        <v>11000</v>
      </c>
      <c r="H17" s="17">
        <v>1700</v>
      </c>
      <c r="I17" s="17">
        <v>29.7</v>
      </c>
      <c r="J17" s="17">
        <v>5.47</v>
      </c>
      <c r="K17" s="17">
        <v>84.23</v>
      </c>
      <c r="L17" s="17">
        <v>10.28</v>
      </c>
      <c r="M17" s="130">
        <v>4.41</v>
      </c>
    </row>
    <row r="18" spans="1:20" x14ac:dyDescent="0.25">
      <c r="A18" s="440"/>
      <c r="B18" s="76" t="s">
        <v>74</v>
      </c>
      <c r="C18" s="22">
        <v>153300</v>
      </c>
      <c r="D18" s="22">
        <v>120000</v>
      </c>
      <c r="E18" s="22">
        <v>100000</v>
      </c>
      <c r="F18" s="22">
        <v>4100</v>
      </c>
      <c r="G18" s="22">
        <v>6000</v>
      </c>
      <c r="H18" s="22">
        <v>3000</v>
      </c>
      <c r="I18" s="22">
        <v>52.3</v>
      </c>
      <c r="J18" s="22">
        <v>19.079999999999998</v>
      </c>
      <c r="K18" s="22">
        <v>97.11</v>
      </c>
      <c r="L18" s="22">
        <v>20.239999999999998</v>
      </c>
      <c r="M18" s="127">
        <v>9.69</v>
      </c>
    </row>
    <row r="19" spans="1:20" x14ac:dyDescent="0.25">
      <c r="A19" s="438" t="s">
        <v>686</v>
      </c>
      <c r="B19" s="164" t="s">
        <v>0</v>
      </c>
      <c r="C19" s="29"/>
      <c r="D19" s="29"/>
      <c r="E19" s="29"/>
      <c r="F19" s="29"/>
      <c r="G19" s="29"/>
      <c r="H19" s="29"/>
      <c r="I19" s="29"/>
      <c r="J19" s="29"/>
      <c r="K19" s="29"/>
      <c r="L19" s="29"/>
      <c r="M19" s="128"/>
      <c r="P19" s="86"/>
    </row>
    <row r="20" spans="1:20" x14ac:dyDescent="0.25">
      <c r="A20" s="439"/>
      <c r="B20" s="25" t="s">
        <v>45</v>
      </c>
      <c r="C20" s="24">
        <v>258150</v>
      </c>
      <c r="D20" s="24">
        <v>102000</v>
      </c>
      <c r="E20" s="24">
        <v>40000</v>
      </c>
      <c r="F20" s="24">
        <v>8900</v>
      </c>
      <c r="G20" s="24">
        <v>11000</v>
      </c>
      <c r="H20" s="24">
        <v>1000</v>
      </c>
      <c r="I20" s="24">
        <v>67.94</v>
      </c>
      <c r="J20" s="24">
        <v>22.72</v>
      </c>
      <c r="K20" s="24">
        <v>96.89</v>
      </c>
      <c r="L20" s="24">
        <v>27.02</v>
      </c>
      <c r="M20" s="129">
        <v>16.46</v>
      </c>
      <c r="P20" s="86"/>
    </row>
    <row r="21" spans="1:20" x14ac:dyDescent="0.25">
      <c r="A21" s="439"/>
      <c r="B21" s="21" t="s">
        <v>44</v>
      </c>
      <c r="C21" s="22">
        <v>6600</v>
      </c>
      <c r="D21" s="22">
        <v>17000</v>
      </c>
      <c r="E21" s="22">
        <v>6300</v>
      </c>
      <c r="F21" s="22">
        <v>1000</v>
      </c>
      <c r="G21" s="22">
        <v>5000</v>
      </c>
      <c r="H21" s="22">
        <v>500</v>
      </c>
      <c r="I21" s="22">
        <v>31.52</v>
      </c>
      <c r="J21" s="22">
        <v>4.57</v>
      </c>
      <c r="K21" s="22">
        <v>81.72</v>
      </c>
      <c r="L21" s="22">
        <v>13.41</v>
      </c>
      <c r="M21" s="127">
        <v>3.43</v>
      </c>
      <c r="P21" s="86"/>
    </row>
    <row r="22" spans="1:20" x14ac:dyDescent="0.25">
      <c r="A22" s="439"/>
      <c r="B22" s="164" t="s">
        <v>68</v>
      </c>
      <c r="C22" s="29"/>
      <c r="D22" s="29"/>
      <c r="E22" s="29"/>
      <c r="F22" s="29"/>
      <c r="G22" s="29"/>
      <c r="H22" s="29"/>
      <c r="I22" s="29"/>
      <c r="J22" s="29"/>
      <c r="K22" s="29"/>
      <c r="L22" s="29"/>
      <c r="M22" s="128"/>
    </row>
    <row r="23" spans="1:20" x14ac:dyDescent="0.25">
      <c r="A23" s="439"/>
      <c r="B23" s="25" t="s">
        <v>69</v>
      </c>
      <c r="C23" s="24">
        <v>14990</v>
      </c>
      <c r="D23" s="24">
        <v>21000</v>
      </c>
      <c r="E23" s="24">
        <v>5000</v>
      </c>
      <c r="F23" s="24">
        <v>600</v>
      </c>
      <c r="G23" s="24">
        <v>3000</v>
      </c>
      <c r="H23" s="24">
        <v>1000</v>
      </c>
      <c r="I23" s="24">
        <v>17.690000000000001</v>
      </c>
      <c r="J23" s="24">
        <v>4.33</v>
      </c>
      <c r="K23" s="24">
        <v>76.23</v>
      </c>
      <c r="L23" s="24">
        <v>11.43</v>
      </c>
      <c r="M23" s="129">
        <v>2.5299999999999998</v>
      </c>
    </row>
    <row r="24" spans="1:20" x14ac:dyDescent="0.25">
      <c r="A24" s="439"/>
      <c r="B24" s="12" t="s">
        <v>70</v>
      </c>
      <c r="C24" s="17">
        <v>68720</v>
      </c>
      <c r="D24" s="17">
        <v>23000</v>
      </c>
      <c r="E24" s="17">
        <v>4500</v>
      </c>
      <c r="F24" s="17">
        <v>2000</v>
      </c>
      <c r="G24" s="17">
        <v>4000</v>
      </c>
      <c r="H24" s="17">
        <v>1500</v>
      </c>
      <c r="I24" s="17">
        <v>46.41</v>
      </c>
      <c r="J24" s="17">
        <v>8.4600000000000009</v>
      </c>
      <c r="K24" s="17">
        <v>93.61</v>
      </c>
      <c r="L24" s="17">
        <v>19.87</v>
      </c>
      <c r="M24" s="130">
        <v>8.14</v>
      </c>
    </row>
    <row r="25" spans="1:20" x14ac:dyDescent="0.25">
      <c r="A25" s="439"/>
      <c r="B25" s="12" t="s">
        <v>71</v>
      </c>
      <c r="C25" s="17">
        <v>157700</v>
      </c>
      <c r="D25" s="17">
        <v>45000</v>
      </c>
      <c r="E25" s="17">
        <v>10000</v>
      </c>
      <c r="F25" s="17">
        <v>4530</v>
      </c>
      <c r="G25" s="17">
        <v>7000</v>
      </c>
      <c r="H25" s="17">
        <v>500</v>
      </c>
      <c r="I25" s="17">
        <v>65.33</v>
      </c>
      <c r="J25" s="17">
        <v>13.26</v>
      </c>
      <c r="K25" s="17">
        <v>98.93</v>
      </c>
      <c r="L25" s="17">
        <v>25.91</v>
      </c>
      <c r="M25" s="130">
        <v>15.32</v>
      </c>
    </row>
    <row r="26" spans="1:20" x14ac:dyDescent="0.25">
      <c r="A26" s="439"/>
      <c r="B26" s="21" t="s">
        <v>72</v>
      </c>
      <c r="C26" s="22">
        <v>659100</v>
      </c>
      <c r="D26" s="22">
        <v>200000</v>
      </c>
      <c r="E26" s="22">
        <v>55000</v>
      </c>
      <c r="F26" s="22">
        <v>22200</v>
      </c>
      <c r="G26" s="22">
        <v>22000</v>
      </c>
      <c r="H26" s="22">
        <v>1600</v>
      </c>
      <c r="I26" s="22">
        <v>88.68</v>
      </c>
      <c r="J26" s="22">
        <v>37.42</v>
      </c>
      <c r="K26" s="22">
        <v>99.51</v>
      </c>
      <c r="L26" s="22">
        <v>32.44</v>
      </c>
      <c r="M26" s="127">
        <v>22.02</v>
      </c>
    </row>
    <row r="27" spans="1:20" x14ac:dyDescent="0.25">
      <c r="A27" s="439"/>
      <c r="B27" s="164" t="s">
        <v>92</v>
      </c>
      <c r="C27" s="29"/>
      <c r="D27" s="28"/>
      <c r="E27" s="28"/>
      <c r="F27" s="28"/>
      <c r="G27" s="29"/>
      <c r="H27" s="29"/>
      <c r="I27" s="29"/>
      <c r="J27" s="29"/>
      <c r="K27" s="29"/>
      <c r="L27" s="29"/>
      <c r="M27" s="128"/>
    </row>
    <row r="28" spans="1:20" x14ac:dyDescent="0.25">
      <c r="A28" s="439"/>
      <c r="B28" s="23" t="s">
        <v>90</v>
      </c>
      <c r="C28" s="24">
        <v>222820</v>
      </c>
      <c r="D28" s="24">
        <v>100000</v>
      </c>
      <c r="E28" s="24">
        <v>40000</v>
      </c>
      <c r="F28" s="24">
        <v>7800</v>
      </c>
      <c r="G28" s="24">
        <v>10000</v>
      </c>
      <c r="H28" s="24">
        <v>1000</v>
      </c>
      <c r="I28" s="24">
        <v>65.959999999999994</v>
      </c>
      <c r="J28" s="24">
        <v>21.2</v>
      </c>
      <c r="K28" s="24">
        <v>96.26</v>
      </c>
      <c r="L28" s="24">
        <v>26.07</v>
      </c>
      <c r="M28" s="129">
        <v>14.91</v>
      </c>
      <c r="T28" s="87"/>
    </row>
    <row r="29" spans="1:20" x14ac:dyDescent="0.25">
      <c r="A29" s="439"/>
      <c r="B29" s="18" t="s">
        <v>91</v>
      </c>
      <c r="C29" s="17">
        <v>24100</v>
      </c>
      <c r="D29" s="17">
        <v>27000</v>
      </c>
      <c r="E29" s="17">
        <v>8000</v>
      </c>
      <c r="F29" s="17">
        <v>1350</v>
      </c>
      <c r="G29" s="17">
        <v>6100</v>
      </c>
      <c r="H29" s="17">
        <v>2000</v>
      </c>
      <c r="I29" s="17">
        <v>37.21</v>
      </c>
      <c r="J29" s="17">
        <v>9.5500000000000007</v>
      </c>
      <c r="K29" s="17">
        <v>80.84</v>
      </c>
      <c r="L29" s="17">
        <v>20.329999999999998</v>
      </c>
      <c r="M29" s="130">
        <v>10.27</v>
      </c>
    </row>
    <row r="30" spans="1:20" x14ac:dyDescent="0.25">
      <c r="A30" s="439"/>
      <c r="B30" s="18" t="s">
        <v>73</v>
      </c>
      <c r="C30" s="17">
        <v>70500</v>
      </c>
      <c r="D30" s="17">
        <v>30000</v>
      </c>
      <c r="E30" s="17">
        <v>9500</v>
      </c>
      <c r="F30" s="17">
        <v>1820</v>
      </c>
      <c r="G30" s="17">
        <v>4500</v>
      </c>
      <c r="H30" s="17">
        <v>300</v>
      </c>
      <c r="I30" s="17">
        <v>37.549999999999997</v>
      </c>
      <c r="J30" s="17">
        <v>5.44</v>
      </c>
      <c r="K30" s="17">
        <v>85.84</v>
      </c>
      <c r="L30" s="17">
        <v>9.85</v>
      </c>
      <c r="M30" s="130">
        <v>4.84</v>
      </c>
      <c r="R30" s="87"/>
      <c r="T30" s="87"/>
    </row>
    <row r="31" spans="1:20" x14ac:dyDescent="0.25">
      <c r="A31" s="439"/>
      <c r="B31" s="18" t="s">
        <v>74</v>
      </c>
      <c r="C31" s="17">
        <v>186600</v>
      </c>
      <c r="D31" s="17">
        <v>161600</v>
      </c>
      <c r="E31" s="17">
        <v>50000</v>
      </c>
      <c r="F31" s="17">
        <v>5000</v>
      </c>
      <c r="G31" s="17">
        <v>7000</v>
      </c>
      <c r="H31" s="17">
        <v>1000</v>
      </c>
      <c r="I31" s="17">
        <v>57.92</v>
      </c>
      <c r="J31" s="17">
        <v>23.49</v>
      </c>
      <c r="K31" s="17">
        <v>96.8</v>
      </c>
      <c r="L31" s="17">
        <v>21.24</v>
      </c>
      <c r="M31" s="130">
        <v>13.5</v>
      </c>
    </row>
    <row r="32" spans="1:20" x14ac:dyDescent="0.25">
      <c r="A32" s="440"/>
      <c r="B32" s="88" t="s">
        <v>224</v>
      </c>
      <c r="C32" s="22">
        <v>165700</v>
      </c>
      <c r="D32" s="22">
        <v>84000</v>
      </c>
      <c r="E32" s="22">
        <v>37000</v>
      </c>
      <c r="F32" s="22">
        <v>5500</v>
      </c>
      <c r="G32" s="22">
        <v>10000</v>
      </c>
      <c r="H32" s="22">
        <v>1000</v>
      </c>
      <c r="I32" s="22">
        <v>59.72</v>
      </c>
      <c r="J32" s="22">
        <v>18.63</v>
      </c>
      <c r="K32" s="22">
        <v>93.47</v>
      </c>
      <c r="L32" s="22">
        <v>23.95</v>
      </c>
      <c r="M32" s="127">
        <v>13.52</v>
      </c>
    </row>
    <row r="33" spans="1:20" x14ac:dyDescent="0.25">
      <c r="A33" s="438" t="s">
        <v>687</v>
      </c>
      <c r="B33" s="164" t="s">
        <v>0</v>
      </c>
      <c r="C33" s="29"/>
      <c r="D33" s="29"/>
      <c r="E33" s="29"/>
      <c r="F33" s="29"/>
      <c r="G33" s="29"/>
      <c r="H33" s="29"/>
      <c r="I33" s="29"/>
      <c r="J33" s="29"/>
      <c r="K33" s="29"/>
      <c r="L33" s="29"/>
      <c r="M33" s="128"/>
    </row>
    <row r="34" spans="1:20" x14ac:dyDescent="0.25">
      <c r="A34" s="439"/>
      <c r="B34" s="25" t="s">
        <v>45</v>
      </c>
      <c r="C34" s="24">
        <v>277580</v>
      </c>
      <c r="D34" s="89">
        <v>82000</v>
      </c>
      <c r="E34" s="90">
        <v>40000</v>
      </c>
      <c r="F34" s="61">
        <v>10220</v>
      </c>
      <c r="G34" s="24">
        <v>10000</v>
      </c>
      <c r="H34" s="24">
        <v>4000</v>
      </c>
      <c r="I34" s="24">
        <v>51.12</v>
      </c>
      <c r="J34" s="24">
        <v>18.64</v>
      </c>
      <c r="K34" s="24">
        <v>98.11</v>
      </c>
      <c r="L34" s="24">
        <v>31.44</v>
      </c>
      <c r="M34" s="129">
        <v>10.4</v>
      </c>
    </row>
    <row r="35" spans="1:20" x14ac:dyDescent="0.25">
      <c r="A35" s="439"/>
      <c r="B35" s="21" t="s">
        <v>44</v>
      </c>
      <c r="C35" s="22">
        <v>3850</v>
      </c>
      <c r="D35" s="91">
        <v>20000</v>
      </c>
      <c r="E35" s="92">
        <v>4500</v>
      </c>
      <c r="F35" s="60">
        <v>900</v>
      </c>
      <c r="G35" s="22">
        <v>3600</v>
      </c>
      <c r="H35" s="22">
        <v>2000</v>
      </c>
      <c r="I35" s="22">
        <v>17.13</v>
      </c>
      <c r="J35" s="22">
        <v>5.44</v>
      </c>
      <c r="K35" s="22">
        <v>82.64</v>
      </c>
      <c r="L35" s="22">
        <v>17.37</v>
      </c>
      <c r="M35" s="127">
        <v>4.32</v>
      </c>
    </row>
    <row r="36" spans="1:20" x14ac:dyDescent="0.25">
      <c r="A36" s="439"/>
      <c r="B36" s="164" t="s">
        <v>68</v>
      </c>
      <c r="C36" s="29"/>
      <c r="D36" s="29"/>
      <c r="E36" s="29"/>
      <c r="F36" s="29"/>
      <c r="G36" s="29"/>
      <c r="H36" s="29"/>
      <c r="I36" s="29"/>
      <c r="J36" s="29"/>
      <c r="K36" s="29"/>
      <c r="L36" s="29"/>
      <c r="M36" s="128"/>
    </row>
    <row r="37" spans="1:20" x14ac:dyDescent="0.25">
      <c r="A37" s="439"/>
      <c r="B37" s="25" t="s">
        <v>69</v>
      </c>
      <c r="C37" s="24">
        <v>41201</v>
      </c>
      <c r="D37" s="24">
        <v>20000</v>
      </c>
      <c r="E37" s="24">
        <v>23000</v>
      </c>
      <c r="F37" s="24">
        <v>1100</v>
      </c>
      <c r="G37" s="24">
        <v>3600</v>
      </c>
      <c r="H37" s="24">
        <v>120</v>
      </c>
      <c r="I37" s="24">
        <v>13.84</v>
      </c>
      <c r="J37" s="24">
        <v>3.25</v>
      </c>
      <c r="K37" s="24">
        <v>85.32</v>
      </c>
      <c r="L37" s="24">
        <v>20.03</v>
      </c>
      <c r="M37" s="129">
        <v>1.3</v>
      </c>
    </row>
    <row r="38" spans="1:20" x14ac:dyDescent="0.25">
      <c r="A38" s="439"/>
      <c r="B38" s="12" t="s">
        <v>70</v>
      </c>
      <c r="C38" s="17">
        <v>179700</v>
      </c>
      <c r="D38" s="17">
        <v>35000</v>
      </c>
      <c r="E38" s="17">
        <v>10000</v>
      </c>
      <c r="F38" s="17">
        <v>5500</v>
      </c>
      <c r="G38" s="17">
        <v>7000</v>
      </c>
      <c r="H38" s="17">
        <v>10000</v>
      </c>
      <c r="I38" s="17">
        <v>42.84</v>
      </c>
      <c r="J38" s="17">
        <v>10</v>
      </c>
      <c r="K38" s="17">
        <v>98.92</v>
      </c>
      <c r="L38" s="17">
        <v>29.97</v>
      </c>
      <c r="M38" s="130">
        <v>5.39</v>
      </c>
    </row>
    <row r="39" spans="1:20" x14ac:dyDescent="0.25">
      <c r="A39" s="439"/>
      <c r="B39" s="12" t="s">
        <v>71</v>
      </c>
      <c r="C39" s="17">
        <v>331300</v>
      </c>
      <c r="D39" s="17">
        <v>70000</v>
      </c>
      <c r="E39" s="17">
        <v>27000</v>
      </c>
      <c r="F39" s="17">
        <v>18500</v>
      </c>
      <c r="G39" s="17">
        <v>10000</v>
      </c>
      <c r="H39" s="17">
        <v>4200</v>
      </c>
      <c r="I39" s="17">
        <v>58.39</v>
      </c>
      <c r="J39" s="17">
        <v>23.35</v>
      </c>
      <c r="K39" s="17">
        <v>100</v>
      </c>
      <c r="L39" s="17">
        <v>34.5</v>
      </c>
      <c r="M39" s="130">
        <v>16.78</v>
      </c>
    </row>
    <row r="40" spans="1:20" x14ac:dyDescent="0.25">
      <c r="A40" s="439"/>
      <c r="B40" s="21" t="s">
        <v>72</v>
      </c>
      <c r="C40" s="22">
        <v>1010000</v>
      </c>
      <c r="D40" s="22">
        <v>265000</v>
      </c>
      <c r="E40" s="22">
        <v>100000</v>
      </c>
      <c r="F40" s="22">
        <v>35000</v>
      </c>
      <c r="G40" s="22">
        <v>25000</v>
      </c>
      <c r="H40" s="22">
        <v>3000</v>
      </c>
      <c r="I40" s="22">
        <v>79.989999999999995</v>
      </c>
      <c r="J40" s="22">
        <v>37.22</v>
      </c>
      <c r="K40" s="22">
        <v>100</v>
      </c>
      <c r="L40" s="22">
        <v>34.68</v>
      </c>
      <c r="M40" s="127">
        <v>18.86</v>
      </c>
    </row>
    <row r="41" spans="1:20" x14ac:dyDescent="0.25">
      <c r="A41" s="439"/>
      <c r="B41" s="164" t="s">
        <v>92</v>
      </c>
      <c r="C41" s="29"/>
      <c r="D41" s="29"/>
      <c r="E41" s="29"/>
      <c r="F41" s="29"/>
      <c r="G41" s="29"/>
      <c r="H41" s="29"/>
      <c r="I41" s="29"/>
      <c r="J41" s="29"/>
      <c r="K41" s="29"/>
      <c r="L41" s="29"/>
      <c r="M41" s="128"/>
    </row>
    <row r="42" spans="1:20" x14ac:dyDescent="0.25">
      <c r="A42" s="439"/>
      <c r="B42" s="23" t="s">
        <v>90</v>
      </c>
      <c r="C42" s="24">
        <v>262000</v>
      </c>
      <c r="D42" s="24">
        <v>89000</v>
      </c>
      <c r="E42" s="24">
        <v>40000</v>
      </c>
      <c r="F42" s="24">
        <v>10320</v>
      </c>
      <c r="G42" s="24">
        <v>9300</v>
      </c>
      <c r="H42" s="24">
        <v>4000</v>
      </c>
      <c r="I42" s="24">
        <v>51.09</v>
      </c>
      <c r="J42" s="24">
        <v>19.3</v>
      </c>
      <c r="K42" s="24">
        <v>97.96</v>
      </c>
      <c r="L42" s="24">
        <v>31.77</v>
      </c>
      <c r="M42" s="129">
        <v>10.28</v>
      </c>
    </row>
    <row r="43" spans="1:20" x14ac:dyDescent="0.25">
      <c r="A43" s="439"/>
      <c r="B43" s="18" t="s">
        <v>91</v>
      </c>
      <c r="C43" s="17">
        <v>102240</v>
      </c>
      <c r="D43" s="17">
        <v>27000</v>
      </c>
      <c r="E43" s="17">
        <v>4000</v>
      </c>
      <c r="F43" s="17">
        <v>1680</v>
      </c>
      <c r="G43" s="17">
        <v>8000</v>
      </c>
      <c r="H43" s="17">
        <v>600</v>
      </c>
      <c r="I43" s="17">
        <v>18.77</v>
      </c>
      <c r="J43" s="17">
        <v>4.8499999999999996</v>
      </c>
      <c r="K43" s="17">
        <v>82.92</v>
      </c>
      <c r="L43" s="17">
        <v>23.69</v>
      </c>
      <c r="M43" s="130">
        <v>7.23</v>
      </c>
    </row>
    <row r="44" spans="1:20" x14ac:dyDescent="0.25">
      <c r="A44" s="439"/>
      <c r="B44" s="18" t="s">
        <v>73</v>
      </c>
      <c r="C44" s="17">
        <v>90150</v>
      </c>
      <c r="D44" s="17">
        <v>106000</v>
      </c>
      <c r="E44" s="17">
        <v>3000</v>
      </c>
      <c r="F44" s="17">
        <v>2000</v>
      </c>
      <c r="G44" s="17">
        <v>12000</v>
      </c>
      <c r="H44" s="17">
        <v>1700</v>
      </c>
      <c r="I44" s="17">
        <v>14.87</v>
      </c>
      <c r="J44" s="17">
        <v>6.29</v>
      </c>
      <c r="K44" s="17">
        <v>85.69</v>
      </c>
      <c r="L44" s="17">
        <v>10.23</v>
      </c>
      <c r="M44" s="130">
        <v>3.99</v>
      </c>
    </row>
    <row r="45" spans="1:20" x14ac:dyDescent="0.25">
      <c r="A45" s="439"/>
      <c r="B45" s="18" t="s">
        <v>74</v>
      </c>
      <c r="C45" s="17">
        <v>100000</v>
      </c>
      <c r="D45" s="17">
        <v>57000</v>
      </c>
      <c r="E45" s="17">
        <v>260000</v>
      </c>
      <c r="F45" s="17">
        <v>2750</v>
      </c>
      <c r="G45" s="17">
        <v>2500</v>
      </c>
      <c r="H45" s="17">
        <v>5000</v>
      </c>
      <c r="I45" s="17">
        <v>50.86</v>
      </c>
      <c r="J45" s="17">
        <v>6.89</v>
      </c>
      <c r="K45" s="17">
        <v>97.01</v>
      </c>
      <c r="L45" s="17">
        <v>15.13</v>
      </c>
      <c r="M45" s="130">
        <v>4.58</v>
      </c>
      <c r="R45" s="87"/>
      <c r="T45" s="87"/>
    </row>
    <row r="46" spans="1:20" x14ac:dyDescent="0.25">
      <c r="A46" s="440"/>
      <c r="B46" s="88" t="s">
        <v>204</v>
      </c>
      <c r="C46" s="22">
        <v>205700</v>
      </c>
      <c r="D46" s="22">
        <v>77000</v>
      </c>
      <c r="E46" s="22">
        <v>40000</v>
      </c>
      <c r="F46" s="22">
        <v>8140</v>
      </c>
      <c r="G46" s="22">
        <v>9000</v>
      </c>
      <c r="H46" s="22">
        <v>3500</v>
      </c>
      <c r="I46" s="22">
        <v>45.33</v>
      </c>
      <c r="J46" s="22">
        <v>16.399999999999999</v>
      </c>
      <c r="K46" s="22">
        <v>95.48</v>
      </c>
      <c r="L46" s="22">
        <v>29.04</v>
      </c>
      <c r="M46" s="127">
        <v>9.3699999999999992</v>
      </c>
      <c r="R46" s="87"/>
      <c r="T46" s="87"/>
    </row>
    <row r="47" spans="1:20" x14ac:dyDescent="0.25">
      <c r="A47" s="438" t="s">
        <v>47</v>
      </c>
      <c r="B47" s="164" t="s">
        <v>0</v>
      </c>
      <c r="C47" s="29"/>
      <c r="D47" s="29"/>
      <c r="E47" s="29"/>
      <c r="F47" s="29"/>
      <c r="G47" s="29"/>
      <c r="H47" s="29"/>
      <c r="I47" s="29"/>
      <c r="J47" s="29"/>
      <c r="K47" s="29"/>
      <c r="L47" s="29"/>
      <c r="M47" s="128"/>
    </row>
    <row r="48" spans="1:20" x14ac:dyDescent="0.25">
      <c r="A48" s="439"/>
      <c r="B48" s="25" t="s">
        <v>45</v>
      </c>
      <c r="C48" s="24">
        <v>268900</v>
      </c>
      <c r="D48" s="24">
        <v>60000</v>
      </c>
      <c r="E48" s="24">
        <v>55000</v>
      </c>
      <c r="F48" s="24">
        <v>15600</v>
      </c>
      <c r="G48" s="24">
        <v>7300</v>
      </c>
      <c r="H48" s="24">
        <v>1000</v>
      </c>
      <c r="I48" s="24">
        <v>32.11</v>
      </c>
      <c r="J48" s="24">
        <v>24.24</v>
      </c>
      <c r="K48" s="24">
        <v>98.17</v>
      </c>
      <c r="L48" s="24">
        <v>33.549999999999997</v>
      </c>
      <c r="M48" s="129">
        <v>11.15</v>
      </c>
      <c r="P48" s="81"/>
      <c r="Q48" s="81"/>
      <c r="R48" s="81"/>
      <c r="S48" s="81"/>
      <c r="T48" s="81"/>
    </row>
    <row r="49" spans="1:13" x14ac:dyDescent="0.25">
      <c r="A49" s="439"/>
      <c r="B49" s="21" t="s">
        <v>44</v>
      </c>
      <c r="C49" s="22">
        <v>10000</v>
      </c>
      <c r="D49" s="22">
        <v>13000</v>
      </c>
      <c r="E49" s="22">
        <v>30000</v>
      </c>
      <c r="F49" s="22">
        <v>3000</v>
      </c>
      <c r="G49" s="22">
        <v>5400</v>
      </c>
      <c r="H49" s="22">
        <v>25000</v>
      </c>
      <c r="I49" s="22">
        <v>19.309999999999999</v>
      </c>
      <c r="J49" s="22">
        <v>14.25</v>
      </c>
      <c r="K49" s="22">
        <v>89.56</v>
      </c>
      <c r="L49" s="22">
        <v>35.47</v>
      </c>
      <c r="M49" s="127">
        <v>5.98</v>
      </c>
    </row>
    <row r="50" spans="1:13" x14ac:dyDescent="0.25">
      <c r="A50" s="439"/>
      <c r="B50" s="164" t="s">
        <v>68</v>
      </c>
      <c r="C50" s="29"/>
      <c r="D50" s="29"/>
      <c r="E50" s="29"/>
      <c r="F50" s="29"/>
      <c r="G50" s="29"/>
      <c r="H50" s="29"/>
      <c r="I50" s="29"/>
      <c r="J50" s="29"/>
      <c r="K50" s="29"/>
      <c r="L50" s="29"/>
      <c r="M50" s="128"/>
    </row>
    <row r="51" spans="1:13" x14ac:dyDescent="0.25">
      <c r="A51" s="439"/>
      <c r="B51" s="25" t="s">
        <v>69</v>
      </c>
      <c r="C51" s="24">
        <v>88400</v>
      </c>
      <c r="D51" s="24">
        <v>16000</v>
      </c>
      <c r="E51" s="24">
        <v>64000</v>
      </c>
      <c r="F51" s="24">
        <v>6200</v>
      </c>
      <c r="G51" s="24">
        <v>3000</v>
      </c>
      <c r="H51" s="24">
        <v>300</v>
      </c>
      <c r="I51" s="24">
        <v>15.06</v>
      </c>
      <c r="J51" s="24">
        <v>11.9</v>
      </c>
      <c r="K51" s="24">
        <v>92.32</v>
      </c>
      <c r="L51" s="24">
        <v>27.29</v>
      </c>
      <c r="M51" s="129">
        <v>8.15</v>
      </c>
    </row>
    <row r="52" spans="1:13" x14ac:dyDescent="0.25">
      <c r="A52" s="439"/>
      <c r="B52" s="12" t="s">
        <v>70</v>
      </c>
      <c r="C52" s="17">
        <v>244400</v>
      </c>
      <c r="D52" s="17">
        <v>42000</v>
      </c>
      <c r="E52" s="17">
        <v>15000</v>
      </c>
      <c r="F52" s="17">
        <v>10000</v>
      </c>
      <c r="G52" s="17">
        <v>8000</v>
      </c>
      <c r="H52" s="17">
        <v>1200</v>
      </c>
      <c r="I52" s="17">
        <v>28.57</v>
      </c>
      <c r="J52" s="17">
        <v>23.14</v>
      </c>
      <c r="K52" s="17">
        <v>99.38</v>
      </c>
      <c r="L52" s="17">
        <v>38.29</v>
      </c>
      <c r="M52" s="130">
        <v>10.23</v>
      </c>
    </row>
    <row r="53" spans="1:13" x14ac:dyDescent="0.25">
      <c r="A53" s="439"/>
      <c r="B53" s="12" t="s">
        <v>71</v>
      </c>
      <c r="C53" s="17">
        <v>514200</v>
      </c>
      <c r="D53" s="17">
        <v>100000</v>
      </c>
      <c r="E53" s="17">
        <v>45000</v>
      </c>
      <c r="F53" s="17">
        <v>30000</v>
      </c>
      <c r="G53" s="17">
        <v>19000</v>
      </c>
      <c r="H53" s="17">
        <v>11000</v>
      </c>
      <c r="I53" s="17">
        <v>48.08</v>
      </c>
      <c r="J53" s="17">
        <v>29.27</v>
      </c>
      <c r="K53" s="17">
        <v>100</v>
      </c>
      <c r="L53" s="17">
        <v>38.950000000000003</v>
      </c>
      <c r="M53" s="130">
        <v>16.04</v>
      </c>
    </row>
    <row r="54" spans="1:13" x14ac:dyDescent="0.25">
      <c r="A54" s="439"/>
      <c r="B54" s="21" t="s">
        <v>72</v>
      </c>
      <c r="C54" s="22">
        <v>1371300</v>
      </c>
      <c r="D54" s="22">
        <v>267000</v>
      </c>
      <c r="E54" s="22">
        <v>175000</v>
      </c>
      <c r="F54" s="22">
        <v>61730</v>
      </c>
      <c r="G54" s="22">
        <v>29000</v>
      </c>
      <c r="H54" s="22">
        <v>10000</v>
      </c>
      <c r="I54" s="22">
        <v>67.540000000000006</v>
      </c>
      <c r="J54" s="22">
        <v>57.7</v>
      </c>
      <c r="K54" s="22">
        <v>100</v>
      </c>
      <c r="L54" s="22">
        <v>42.04</v>
      </c>
      <c r="M54" s="127">
        <v>6.82</v>
      </c>
    </row>
    <row r="55" spans="1:13" x14ac:dyDescent="0.25">
      <c r="A55" s="439"/>
      <c r="B55" s="164" t="s">
        <v>92</v>
      </c>
      <c r="C55" s="93"/>
      <c r="D55" s="93"/>
      <c r="E55" s="93"/>
      <c r="F55" s="93"/>
      <c r="G55" s="93"/>
      <c r="H55" s="93"/>
      <c r="I55" s="93"/>
      <c r="J55" s="93"/>
      <c r="K55" s="29"/>
      <c r="L55" s="93"/>
      <c r="M55" s="128"/>
    </row>
    <row r="56" spans="1:13" x14ac:dyDescent="0.25">
      <c r="A56" s="439"/>
      <c r="B56" s="23" t="s">
        <v>90</v>
      </c>
      <c r="C56" s="24">
        <v>240600</v>
      </c>
      <c r="D56" s="24">
        <v>57600</v>
      </c>
      <c r="E56" s="24">
        <v>50000</v>
      </c>
      <c r="F56" s="24">
        <v>14000</v>
      </c>
      <c r="G56" s="24">
        <v>6000</v>
      </c>
      <c r="H56" s="24">
        <v>450</v>
      </c>
      <c r="I56" s="24">
        <v>32.14</v>
      </c>
      <c r="J56" s="24">
        <v>23.19</v>
      </c>
      <c r="K56" s="24">
        <v>98.13</v>
      </c>
      <c r="L56" s="24">
        <v>34.1</v>
      </c>
      <c r="M56" s="129">
        <v>10.32</v>
      </c>
    </row>
    <row r="57" spans="1:13" x14ac:dyDescent="0.25">
      <c r="A57" s="439"/>
      <c r="B57" s="18" t="s">
        <v>91</v>
      </c>
      <c r="C57" s="17">
        <v>89150</v>
      </c>
      <c r="D57" s="17">
        <v>30000</v>
      </c>
      <c r="E57" s="17">
        <v>4000</v>
      </c>
      <c r="F57" s="17">
        <v>5000</v>
      </c>
      <c r="G57" s="17">
        <v>8000</v>
      </c>
      <c r="H57" s="17">
        <v>11000</v>
      </c>
      <c r="I57" s="17">
        <v>12.1</v>
      </c>
      <c r="J57" s="17">
        <v>12.51</v>
      </c>
      <c r="K57" s="17">
        <v>88.19</v>
      </c>
      <c r="L57" s="17">
        <v>36.200000000000003</v>
      </c>
      <c r="M57" s="130">
        <v>14.15</v>
      </c>
    </row>
    <row r="58" spans="1:13" x14ac:dyDescent="0.25">
      <c r="A58" s="439"/>
      <c r="B58" s="18" t="s">
        <v>73</v>
      </c>
      <c r="C58" s="17">
        <v>16100</v>
      </c>
      <c r="D58" s="94" t="s">
        <v>225</v>
      </c>
      <c r="E58" s="94" t="s">
        <v>225</v>
      </c>
      <c r="F58" s="17">
        <v>8500</v>
      </c>
      <c r="G58" s="17">
        <v>48000</v>
      </c>
      <c r="H58" s="94" t="s">
        <v>225</v>
      </c>
      <c r="I58" s="94" t="s">
        <v>225</v>
      </c>
      <c r="J58" s="94" t="s">
        <v>225</v>
      </c>
      <c r="K58" s="17">
        <v>45.19</v>
      </c>
      <c r="L58" s="17">
        <v>18.21</v>
      </c>
      <c r="M58" s="131" t="s">
        <v>225</v>
      </c>
    </row>
    <row r="59" spans="1:13" x14ac:dyDescent="0.25">
      <c r="A59" s="439"/>
      <c r="B59" s="18" t="s">
        <v>74</v>
      </c>
      <c r="C59" s="17">
        <v>271600</v>
      </c>
      <c r="D59" s="17">
        <v>456000</v>
      </c>
      <c r="E59" s="17">
        <v>7000</v>
      </c>
      <c r="F59" s="17">
        <v>18000</v>
      </c>
      <c r="G59" s="17">
        <v>6000</v>
      </c>
      <c r="H59" s="94" t="s">
        <v>225</v>
      </c>
      <c r="I59" s="17">
        <v>13</v>
      </c>
      <c r="J59" s="17">
        <v>33.68</v>
      </c>
      <c r="K59" s="17">
        <v>100</v>
      </c>
      <c r="L59" s="17">
        <v>33.17</v>
      </c>
      <c r="M59" s="131" t="s">
        <v>225</v>
      </c>
    </row>
    <row r="60" spans="1:13" ht="15.75" thickBot="1" x14ac:dyDescent="0.3">
      <c r="A60" s="441"/>
      <c r="B60" s="132" t="s">
        <v>205</v>
      </c>
      <c r="C60" s="133">
        <v>219900</v>
      </c>
      <c r="D60" s="133">
        <v>55000</v>
      </c>
      <c r="E60" s="133">
        <v>50000</v>
      </c>
      <c r="F60" s="133">
        <v>13400</v>
      </c>
      <c r="G60" s="133">
        <v>7000</v>
      </c>
      <c r="H60" s="133">
        <v>1000</v>
      </c>
      <c r="I60" s="133">
        <v>29.58</v>
      </c>
      <c r="J60" s="133">
        <v>22.26</v>
      </c>
      <c r="K60" s="133">
        <v>96.47</v>
      </c>
      <c r="L60" s="133">
        <v>33.93</v>
      </c>
      <c r="M60" s="134">
        <v>10.130000000000001</v>
      </c>
    </row>
    <row r="62" spans="1:13" x14ac:dyDescent="0.25">
      <c r="A62" s="351" t="s">
        <v>729</v>
      </c>
      <c r="B62" s="351"/>
      <c r="C62" s="351"/>
      <c r="D62" s="351"/>
      <c r="E62" s="351"/>
      <c r="F62" s="351"/>
      <c r="G62" s="351"/>
      <c r="H62" s="351"/>
      <c r="I62" s="351"/>
      <c r="J62" s="351"/>
      <c r="K62" s="351"/>
      <c r="L62" s="351"/>
      <c r="M62" s="351"/>
    </row>
    <row r="63" spans="1:13" x14ac:dyDescent="0.25">
      <c r="A63" s="351"/>
      <c r="B63" s="351"/>
      <c r="C63" s="351"/>
      <c r="D63" s="351"/>
      <c r="E63" s="351"/>
      <c r="F63" s="351"/>
      <c r="G63" s="351"/>
      <c r="H63" s="351"/>
      <c r="I63" s="351"/>
      <c r="J63" s="351"/>
      <c r="K63" s="351"/>
      <c r="L63" s="351"/>
      <c r="M63" s="351"/>
    </row>
    <row r="64" spans="1:13" x14ac:dyDescent="0.25">
      <c r="A64" s="351"/>
      <c r="B64" s="351"/>
      <c r="C64" s="351"/>
      <c r="D64" s="351"/>
      <c r="E64" s="351"/>
      <c r="F64" s="351"/>
      <c r="G64" s="351"/>
      <c r="H64" s="351"/>
      <c r="I64" s="351"/>
      <c r="J64" s="351"/>
      <c r="K64" s="351"/>
      <c r="L64" s="351"/>
      <c r="M64" s="351"/>
    </row>
    <row r="65" spans="1:1" x14ac:dyDescent="0.25">
      <c r="A65" s="58" t="s">
        <v>226</v>
      </c>
    </row>
  </sheetData>
  <mergeCells count="5">
    <mergeCell ref="A5:A18"/>
    <mergeCell ref="A19:A32"/>
    <mergeCell ref="A33:A46"/>
    <mergeCell ref="A47:A60"/>
    <mergeCell ref="A62:M6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10" zoomScaleNormal="100" workbookViewId="0">
      <selection activeCell="A40" sqref="A40:J46"/>
    </sheetView>
  </sheetViews>
  <sheetFormatPr defaultColWidth="8.85546875" defaultRowHeight="15" x14ac:dyDescent="0.25"/>
  <cols>
    <col min="1" max="1" width="20.28515625" style="58" customWidth="1"/>
    <col min="2" max="2" width="30.85546875" style="58" bestFit="1" customWidth="1"/>
    <col min="3" max="3" width="10.28515625" style="58" customWidth="1"/>
    <col min="4" max="4" width="9.140625" style="58" bestFit="1" customWidth="1"/>
    <col min="5" max="5" width="9.28515625" style="58" bestFit="1" customWidth="1"/>
    <col min="6" max="6" width="10.140625" style="58" customWidth="1"/>
    <col min="7" max="7" width="10.85546875" style="58" bestFit="1" customWidth="1"/>
    <col min="8" max="8" width="8.85546875" style="58"/>
    <col min="9" max="9" width="9.28515625" style="58" customWidth="1"/>
    <col min="10" max="10" width="10.42578125" style="58" customWidth="1"/>
    <col min="11" max="16384" width="8.85546875" style="58"/>
  </cols>
  <sheetData>
    <row r="1" spans="1:10" x14ac:dyDescent="0.25">
      <c r="A1" s="59" t="s">
        <v>721</v>
      </c>
      <c r="B1" s="77"/>
      <c r="C1" s="77"/>
      <c r="D1" s="77"/>
      <c r="E1" s="77"/>
      <c r="F1" s="77"/>
      <c r="G1" s="2"/>
      <c r="I1" s="77"/>
      <c r="J1" s="2"/>
    </row>
    <row r="2" spans="1:10" x14ac:dyDescent="0.25">
      <c r="A2" s="59"/>
      <c r="B2" s="77"/>
      <c r="C2" s="77"/>
      <c r="D2" s="77"/>
      <c r="E2" s="77"/>
      <c r="F2" s="77"/>
      <c r="G2" s="2"/>
      <c r="I2" s="77"/>
      <c r="J2" s="2"/>
    </row>
    <row r="3" spans="1:10" ht="15.75" thickBot="1" x14ac:dyDescent="0.3">
      <c r="A3" s="16" t="s">
        <v>60</v>
      </c>
      <c r="B3" s="77"/>
      <c r="C3" s="77"/>
      <c r="D3" s="77"/>
      <c r="E3" s="77"/>
      <c r="F3" s="77"/>
      <c r="G3" s="2"/>
      <c r="I3" s="77"/>
      <c r="J3" s="2"/>
    </row>
    <row r="4" spans="1:10" ht="15" customHeight="1" x14ac:dyDescent="0.25">
      <c r="A4" s="135"/>
      <c r="B4" s="123"/>
      <c r="C4" s="445" t="s">
        <v>722</v>
      </c>
      <c r="D4" s="446"/>
      <c r="E4" s="445" t="s">
        <v>719</v>
      </c>
      <c r="F4" s="446"/>
      <c r="G4" s="445" t="s">
        <v>720</v>
      </c>
      <c r="H4" s="447"/>
      <c r="I4" s="445" t="s">
        <v>723</v>
      </c>
      <c r="J4" s="447"/>
    </row>
    <row r="5" spans="1:10" ht="30" x14ac:dyDescent="0.25">
      <c r="A5" s="136" t="s">
        <v>193</v>
      </c>
      <c r="B5" s="21"/>
      <c r="C5" s="27">
        <v>2007</v>
      </c>
      <c r="D5" s="27">
        <v>2010</v>
      </c>
      <c r="E5" s="27">
        <v>2007</v>
      </c>
      <c r="F5" s="27">
        <v>2010</v>
      </c>
      <c r="G5" s="27">
        <v>2007</v>
      </c>
      <c r="H5" s="137">
        <v>2010</v>
      </c>
      <c r="I5" s="27">
        <v>2007</v>
      </c>
      <c r="J5" s="137">
        <v>2010</v>
      </c>
    </row>
    <row r="6" spans="1:10" x14ac:dyDescent="0.25">
      <c r="A6" s="442" t="s">
        <v>201</v>
      </c>
      <c r="B6" s="26" t="s">
        <v>68</v>
      </c>
      <c r="C6" s="26"/>
      <c r="D6" s="26"/>
      <c r="E6" s="26"/>
      <c r="F6" s="26"/>
      <c r="G6" s="26"/>
      <c r="H6" s="138"/>
      <c r="I6" s="26"/>
      <c r="J6" s="138"/>
    </row>
    <row r="7" spans="1:10" x14ac:dyDescent="0.25">
      <c r="A7" s="367"/>
      <c r="B7" s="25" t="s">
        <v>202</v>
      </c>
      <c r="C7" s="24">
        <v>91871</v>
      </c>
      <c r="D7" s="24">
        <v>75650</v>
      </c>
      <c r="E7" s="24">
        <v>68099</v>
      </c>
      <c r="F7" s="24">
        <v>60000</v>
      </c>
      <c r="G7" s="24">
        <v>13442</v>
      </c>
      <c r="H7" s="129">
        <v>9200</v>
      </c>
      <c r="I7" s="25">
        <v>82</v>
      </c>
      <c r="J7" s="37">
        <v>76</v>
      </c>
    </row>
    <row r="8" spans="1:10" x14ac:dyDescent="0.25">
      <c r="A8" s="367"/>
      <c r="B8" s="12" t="s">
        <v>70</v>
      </c>
      <c r="C8" s="17">
        <v>174125</v>
      </c>
      <c r="D8" s="17">
        <v>129750</v>
      </c>
      <c r="E8" s="17">
        <v>94291</v>
      </c>
      <c r="F8" s="17">
        <v>70000</v>
      </c>
      <c r="G8" s="17">
        <v>43772</v>
      </c>
      <c r="H8" s="130">
        <v>42400</v>
      </c>
      <c r="I8" s="12">
        <v>68</v>
      </c>
      <c r="J8" s="325">
        <v>54</v>
      </c>
    </row>
    <row r="9" spans="1:10" x14ac:dyDescent="0.25">
      <c r="A9" s="367"/>
      <c r="B9" s="12" t="s">
        <v>71</v>
      </c>
      <c r="C9" s="17">
        <v>313781</v>
      </c>
      <c r="D9" s="17">
        <v>183740</v>
      </c>
      <c r="E9" s="17">
        <v>129912</v>
      </c>
      <c r="F9" s="17">
        <v>77000</v>
      </c>
      <c r="G9" s="17">
        <v>145523</v>
      </c>
      <c r="H9" s="130">
        <v>77300</v>
      </c>
      <c r="I9" s="12">
        <v>43</v>
      </c>
      <c r="J9" s="325">
        <v>46</v>
      </c>
    </row>
    <row r="10" spans="1:10" x14ac:dyDescent="0.25">
      <c r="A10" s="367"/>
      <c r="B10" s="21" t="s">
        <v>203</v>
      </c>
      <c r="C10" s="22">
        <v>724262</v>
      </c>
      <c r="D10" s="22">
        <v>726200</v>
      </c>
      <c r="E10" s="22">
        <v>231538</v>
      </c>
      <c r="F10" s="22">
        <v>203000</v>
      </c>
      <c r="G10" s="22">
        <v>466166</v>
      </c>
      <c r="H10" s="127">
        <v>497000</v>
      </c>
      <c r="I10" s="21">
        <v>28.999999999999996</v>
      </c>
      <c r="J10" s="326">
        <v>25</v>
      </c>
    </row>
    <row r="11" spans="1:10" x14ac:dyDescent="0.25">
      <c r="A11" s="443"/>
      <c r="B11" s="26" t="s">
        <v>92</v>
      </c>
      <c r="C11" s="29"/>
      <c r="D11" s="29"/>
      <c r="E11" s="29"/>
      <c r="F11" s="29"/>
      <c r="G11" s="29"/>
      <c r="H11" s="128"/>
      <c r="I11" s="71"/>
      <c r="J11" s="122"/>
    </row>
    <row r="12" spans="1:10" x14ac:dyDescent="0.25">
      <c r="A12" s="367"/>
      <c r="B12" s="23" t="s">
        <v>90</v>
      </c>
      <c r="C12" s="24">
        <v>377616</v>
      </c>
      <c r="D12" s="24">
        <v>305100</v>
      </c>
      <c r="E12" s="24">
        <v>157152</v>
      </c>
      <c r="F12" s="24">
        <v>107000</v>
      </c>
      <c r="G12" s="24">
        <v>190259</v>
      </c>
      <c r="H12" s="129">
        <v>162800</v>
      </c>
      <c r="I12" s="25">
        <v>42</v>
      </c>
      <c r="J12" s="37">
        <v>34</v>
      </c>
    </row>
    <row r="13" spans="1:10" x14ac:dyDescent="0.25">
      <c r="A13" s="367"/>
      <c r="B13" s="18" t="s">
        <v>89</v>
      </c>
      <c r="C13" s="17">
        <v>204298</v>
      </c>
      <c r="D13" s="17">
        <v>109950</v>
      </c>
      <c r="E13" s="17">
        <v>71242</v>
      </c>
      <c r="F13" s="17">
        <v>60000</v>
      </c>
      <c r="G13" s="17">
        <v>52154</v>
      </c>
      <c r="H13" s="130">
        <v>27000</v>
      </c>
      <c r="I13" s="12">
        <v>62</v>
      </c>
      <c r="J13" s="325">
        <v>61</v>
      </c>
    </row>
    <row r="14" spans="1:10" x14ac:dyDescent="0.25">
      <c r="A14" s="367"/>
      <c r="B14" s="18" t="s">
        <v>73</v>
      </c>
      <c r="C14" s="17">
        <v>185367</v>
      </c>
      <c r="D14" s="17">
        <v>150100</v>
      </c>
      <c r="E14" s="17">
        <v>97434</v>
      </c>
      <c r="F14" s="17">
        <v>80000</v>
      </c>
      <c r="G14" s="17">
        <v>27764</v>
      </c>
      <c r="H14" s="130">
        <v>29100</v>
      </c>
      <c r="I14" s="12">
        <v>75</v>
      </c>
      <c r="J14" s="325">
        <v>65</v>
      </c>
    </row>
    <row r="15" spans="1:10" x14ac:dyDescent="0.25">
      <c r="A15" s="368"/>
      <c r="B15" s="76" t="s">
        <v>74</v>
      </c>
      <c r="C15" s="22">
        <v>475543</v>
      </c>
      <c r="D15" s="22">
        <v>495150</v>
      </c>
      <c r="E15" s="22">
        <v>212679</v>
      </c>
      <c r="F15" s="22">
        <v>200000</v>
      </c>
      <c r="G15" s="22">
        <v>227242</v>
      </c>
      <c r="H15" s="127">
        <v>147600</v>
      </c>
      <c r="I15" s="21">
        <v>48</v>
      </c>
      <c r="J15" s="326">
        <v>43</v>
      </c>
    </row>
    <row r="16" spans="1:10" x14ac:dyDescent="0.25">
      <c r="A16" s="438" t="s">
        <v>227</v>
      </c>
      <c r="B16" s="26" t="s">
        <v>68</v>
      </c>
      <c r="C16" s="29"/>
      <c r="D16" s="29"/>
      <c r="E16" s="29"/>
      <c r="F16" s="29"/>
      <c r="G16" s="29"/>
      <c r="H16" s="128"/>
      <c r="I16" s="71"/>
      <c r="J16" s="122"/>
    </row>
    <row r="17" spans="1:10" x14ac:dyDescent="0.25">
      <c r="A17" s="370"/>
      <c r="B17" s="25" t="s">
        <v>202</v>
      </c>
      <c r="C17" s="24">
        <v>163962</v>
      </c>
      <c r="D17" s="24">
        <v>117000</v>
      </c>
      <c r="E17" s="24">
        <v>104768</v>
      </c>
      <c r="F17" s="24">
        <v>80000</v>
      </c>
      <c r="G17" s="24">
        <v>30047</v>
      </c>
      <c r="H17" s="129">
        <v>18240</v>
      </c>
      <c r="I17" s="25">
        <v>78</v>
      </c>
      <c r="J17" s="37">
        <v>78</v>
      </c>
    </row>
    <row r="18" spans="1:10" x14ac:dyDescent="0.25">
      <c r="A18" s="370"/>
      <c r="B18" s="12" t="s">
        <v>70</v>
      </c>
      <c r="C18" s="17">
        <v>260558</v>
      </c>
      <c r="D18" s="17">
        <v>220900</v>
      </c>
      <c r="E18" s="17">
        <v>146675</v>
      </c>
      <c r="F18" s="17">
        <v>119000</v>
      </c>
      <c r="G18" s="17">
        <v>89273</v>
      </c>
      <c r="H18" s="130">
        <v>70900</v>
      </c>
      <c r="I18" s="12">
        <v>56.999999999999993</v>
      </c>
      <c r="J18" s="325">
        <v>59</v>
      </c>
    </row>
    <row r="19" spans="1:10" x14ac:dyDescent="0.25">
      <c r="A19" s="370"/>
      <c r="B19" s="12" t="s">
        <v>71</v>
      </c>
      <c r="C19" s="17">
        <v>518403</v>
      </c>
      <c r="D19" s="17">
        <v>401700</v>
      </c>
      <c r="E19" s="17">
        <v>183344</v>
      </c>
      <c r="F19" s="17">
        <v>150000</v>
      </c>
      <c r="G19" s="17">
        <v>219594</v>
      </c>
      <c r="H19" s="130">
        <v>212350</v>
      </c>
      <c r="I19" s="12">
        <v>47</v>
      </c>
      <c r="J19" s="325">
        <v>37</v>
      </c>
    </row>
    <row r="20" spans="1:10" x14ac:dyDescent="0.25">
      <c r="A20" s="370"/>
      <c r="B20" s="21" t="s">
        <v>203</v>
      </c>
      <c r="C20" s="22">
        <v>1212167</v>
      </c>
      <c r="D20" s="22">
        <v>1077800</v>
      </c>
      <c r="E20" s="22">
        <v>419073</v>
      </c>
      <c r="F20" s="22">
        <v>262000</v>
      </c>
      <c r="G20" s="22">
        <v>876595</v>
      </c>
      <c r="H20" s="127">
        <v>761200</v>
      </c>
      <c r="I20" s="21">
        <v>28.000000000000004</v>
      </c>
      <c r="J20" s="326">
        <v>24</v>
      </c>
    </row>
    <row r="21" spans="1:10" x14ac:dyDescent="0.25">
      <c r="A21" s="439"/>
      <c r="B21" s="26" t="s">
        <v>92</v>
      </c>
      <c r="C21" s="29"/>
      <c r="D21" s="29"/>
      <c r="E21" s="29"/>
      <c r="F21" s="29"/>
      <c r="G21" s="29"/>
      <c r="H21" s="128"/>
      <c r="I21" s="71"/>
      <c r="J21" s="122"/>
    </row>
    <row r="22" spans="1:10" x14ac:dyDescent="0.25">
      <c r="A22" s="370"/>
      <c r="B22" s="23" t="s">
        <v>90</v>
      </c>
      <c r="C22" s="24">
        <v>314304</v>
      </c>
      <c r="D22" s="24">
        <v>310300</v>
      </c>
      <c r="E22" s="24">
        <v>157152</v>
      </c>
      <c r="F22" s="24">
        <v>130000</v>
      </c>
      <c r="G22" s="24">
        <v>120902</v>
      </c>
      <c r="H22" s="129">
        <v>137500</v>
      </c>
      <c r="I22" s="25">
        <v>52</v>
      </c>
      <c r="J22" s="37">
        <v>46</v>
      </c>
    </row>
    <row r="23" spans="1:10" x14ac:dyDescent="0.25">
      <c r="A23" s="370"/>
      <c r="B23" s="18" t="s">
        <v>89</v>
      </c>
      <c r="C23" s="17">
        <v>142747</v>
      </c>
      <c r="D23" s="17">
        <v>132400</v>
      </c>
      <c r="E23" s="17">
        <v>130960</v>
      </c>
      <c r="F23" s="17">
        <v>90000</v>
      </c>
      <c r="G23" s="17">
        <v>5553</v>
      </c>
      <c r="H23" s="130">
        <v>23460</v>
      </c>
      <c r="I23" s="12">
        <v>93</v>
      </c>
      <c r="J23" s="325">
        <v>75</v>
      </c>
    </row>
    <row r="24" spans="1:10" x14ac:dyDescent="0.25">
      <c r="A24" s="370"/>
      <c r="B24" s="18" t="s">
        <v>73</v>
      </c>
      <c r="C24" s="17">
        <v>101311</v>
      </c>
      <c r="D24" s="17">
        <v>203950</v>
      </c>
      <c r="E24" s="17">
        <v>94291</v>
      </c>
      <c r="F24" s="17">
        <v>125000</v>
      </c>
      <c r="G24" s="17">
        <v>6915</v>
      </c>
      <c r="H24" s="130">
        <v>15800</v>
      </c>
      <c r="I24" s="12">
        <v>93</v>
      </c>
      <c r="J24" s="325">
        <v>87</v>
      </c>
    </row>
    <row r="25" spans="1:10" x14ac:dyDescent="0.25">
      <c r="A25" s="370"/>
      <c r="B25" s="76" t="s">
        <v>74</v>
      </c>
      <c r="C25" s="22">
        <v>556444</v>
      </c>
      <c r="D25" s="22">
        <v>154630</v>
      </c>
      <c r="E25" s="22">
        <v>377165</v>
      </c>
      <c r="F25" s="22">
        <v>101000</v>
      </c>
      <c r="G25" s="22">
        <v>289160</v>
      </c>
      <c r="H25" s="127">
        <v>50600</v>
      </c>
      <c r="I25" s="21">
        <v>68</v>
      </c>
      <c r="J25" s="326">
        <v>53</v>
      </c>
    </row>
    <row r="26" spans="1:10" ht="15" customHeight="1" x14ac:dyDescent="0.25">
      <c r="A26" s="413" t="s">
        <v>189</v>
      </c>
      <c r="B26" s="26" t="s">
        <v>68</v>
      </c>
      <c r="C26" s="29"/>
      <c r="D26" s="29"/>
      <c r="E26" s="29"/>
      <c r="F26" s="29"/>
      <c r="G26" s="29"/>
      <c r="H26" s="128"/>
      <c r="I26" s="71"/>
      <c r="J26" s="122"/>
    </row>
    <row r="27" spans="1:10" x14ac:dyDescent="0.25">
      <c r="A27" s="372"/>
      <c r="B27" s="99" t="s">
        <v>202</v>
      </c>
      <c r="C27" s="24">
        <v>149399</v>
      </c>
      <c r="D27" s="24">
        <v>102140</v>
      </c>
      <c r="E27" s="24">
        <v>99530</v>
      </c>
      <c r="F27" s="24">
        <v>75000</v>
      </c>
      <c r="G27" s="24">
        <v>24621</v>
      </c>
      <c r="H27" s="129">
        <v>14200</v>
      </c>
      <c r="I27" s="25">
        <v>80</v>
      </c>
      <c r="J27" s="37">
        <v>77</v>
      </c>
    </row>
    <row r="28" spans="1:10" x14ac:dyDescent="0.25">
      <c r="A28" s="372"/>
      <c r="B28" s="97" t="s">
        <v>70</v>
      </c>
      <c r="C28" s="17">
        <v>231579</v>
      </c>
      <c r="D28" s="17">
        <v>179500</v>
      </c>
      <c r="E28" s="17">
        <v>121531</v>
      </c>
      <c r="F28" s="17">
        <v>99000</v>
      </c>
      <c r="G28" s="17">
        <v>69356</v>
      </c>
      <c r="H28" s="130">
        <v>59580</v>
      </c>
      <c r="I28" s="12">
        <v>62</v>
      </c>
      <c r="J28" s="325">
        <v>57.999999999999993</v>
      </c>
    </row>
    <row r="29" spans="1:10" x14ac:dyDescent="0.25">
      <c r="A29" s="372"/>
      <c r="B29" s="97" t="s">
        <v>71</v>
      </c>
      <c r="C29" s="17">
        <v>345001</v>
      </c>
      <c r="D29" s="17">
        <v>240100</v>
      </c>
      <c r="E29" s="17">
        <v>149818</v>
      </c>
      <c r="F29" s="17">
        <v>100000</v>
      </c>
      <c r="G29" s="17">
        <v>174439</v>
      </c>
      <c r="H29" s="130">
        <v>111015</v>
      </c>
      <c r="I29" s="12">
        <v>44</v>
      </c>
      <c r="J29" s="325">
        <v>42</v>
      </c>
    </row>
    <row r="30" spans="1:10" x14ac:dyDescent="0.25">
      <c r="A30" s="372"/>
      <c r="B30" s="100" t="s">
        <v>203</v>
      </c>
      <c r="C30" s="22">
        <v>835735</v>
      </c>
      <c r="D30" s="22">
        <v>825500</v>
      </c>
      <c r="E30" s="22">
        <v>270302</v>
      </c>
      <c r="F30" s="22">
        <v>224000</v>
      </c>
      <c r="G30" s="22">
        <v>558100</v>
      </c>
      <c r="H30" s="127">
        <v>594300</v>
      </c>
      <c r="I30" s="21">
        <v>28.999999999999996</v>
      </c>
      <c r="J30" s="326">
        <v>25</v>
      </c>
    </row>
    <row r="31" spans="1:10" x14ac:dyDescent="0.25">
      <c r="A31" s="413"/>
      <c r="B31" s="26" t="s">
        <v>92</v>
      </c>
      <c r="C31" s="29"/>
      <c r="D31" s="29"/>
      <c r="E31" s="29"/>
      <c r="F31" s="29"/>
      <c r="G31" s="29"/>
      <c r="H31" s="128"/>
      <c r="I31" s="71"/>
      <c r="J31" s="122"/>
    </row>
    <row r="32" spans="1:10" x14ac:dyDescent="0.25">
      <c r="A32" s="372"/>
      <c r="B32" s="101" t="s">
        <v>90</v>
      </c>
      <c r="C32" s="24">
        <v>347516</v>
      </c>
      <c r="D32" s="24">
        <v>308700</v>
      </c>
      <c r="E32" s="24">
        <v>157152</v>
      </c>
      <c r="F32" s="24">
        <v>119000</v>
      </c>
      <c r="G32" s="24">
        <v>152647</v>
      </c>
      <c r="H32" s="129">
        <v>147800</v>
      </c>
      <c r="I32" s="25">
        <v>47</v>
      </c>
      <c r="J32" s="37">
        <v>39</v>
      </c>
    </row>
    <row r="33" spans="1:11" x14ac:dyDescent="0.25">
      <c r="A33" s="372"/>
      <c r="B33" s="98" t="s">
        <v>89</v>
      </c>
      <c r="C33" s="17">
        <v>171086</v>
      </c>
      <c r="D33" s="17">
        <v>119220</v>
      </c>
      <c r="E33" s="17">
        <v>76481</v>
      </c>
      <c r="F33" s="17">
        <v>70000</v>
      </c>
      <c r="G33" s="17">
        <v>37821</v>
      </c>
      <c r="H33" s="130">
        <v>24000</v>
      </c>
      <c r="I33" s="12">
        <v>74</v>
      </c>
      <c r="J33" s="325">
        <v>66</v>
      </c>
    </row>
    <row r="34" spans="1:11" x14ac:dyDescent="0.25">
      <c r="A34" s="372"/>
      <c r="B34" s="98" t="s">
        <v>73</v>
      </c>
      <c r="C34" s="17">
        <v>173391</v>
      </c>
      <c r="D34" s="17">
        <v>154700</v>
      </c>
      <c r="E34" s="17">
        <v>94291</v>
      </c>
      <c r="F34" s="17">
        <v>100000</v>
      </c>
      <c r="G34" s="17">
        <v>23992</v>
      </c>
      <c r="H34" s="130">
        <v>26900</v>
      </c>
      <c r="I34" s="12">
        <v>76</v>
      </c>
      <c r="J34" s="325">
        <v>78</v>
      </c>
    </row>
    <row r="35" spans="1:11" x14ac:dyDescent="0.25">
      <c r="A35" s="372"/>
      <c r="B35" s="102" t="s">
        <v>74</v>
      </c>
      <c r="C35" s="22">
        <v>475543</v>
      </c>
      <c r="D35" s="22">
        <v>245890</v>
      </c>
      <c r="E35" s="22">
        <v>230490</v>
      </c>
      <c r="F35" s="22">
        <v>135000</v>
      </c>
      <c r="G35" s="22">
        <v>227242</v>
      </c>
      <c r="H35" s="127">
        <v>87000</v>
      </c>
      <c r="I35" s="21">
        <v>49</v>
      </c>
      <c r="J35" s="326">
        <v>45</v>
      </c>
    </row>
    <row r="36" spans="1:11" ht="15" hidden="1" customHeight="1" x14ac:dyDescent="0.25">
      <c r="A36" s="413"/>
      <c r="B36" s="26" t="s">
        <v>146</v>
      </c>
      <c r="C36" s="29"/>
      <c r="D36" s="29"/>
      <c r="E36" s="29"/>
      <c r="F36" s="29"/>
      <c r="G36" s="29"/>
      <c r="H36" s="128"/>
      <c r="I36" s="71"/>
      <c r="J36" s="122"/>
    </row>
    <row r="37" spans="1:11" x14ac:dyDescent="0.25">
      <c r="A37" s="372"/>
      <c r="B37" s="103" t="s">
        <v>2</v>
      </c>
      <c r="C37" s="24">
        <v>331591</v>
      </c>
      <c r="D37" s="24">
        <v>251120</v>
      </c>
      <c r="E37" s="24">
        <v>142485</v>
      </c>
      <c r="F37" s="24">
        <v>100000</v>
      </c>
      <c r="G37" s="24">
        <v>158189</v>
      </c>
      <c r="H37" s="129">
        <v>122820</v>
      </c>
      <c r="I37" s="25">
        <v>44</v>
      </c>
      <c r="J37" s="37">
        <v>38</v>
      </c>
    </row>
    <row r="38" spans="1:11" ht="15.75" thickBot="1" x14ac:dyDescent="0.3">
      <c r="A38" s="444"/>
      <c r="B38" s="139" t="s">
        <v>228</v>
      </c>
      <c r="C38" s="133">
        <v>292617</v>
      </c>
      <c r="D38" s="133">
        <v>271720</v>
      </c>
      <c r="E38" s="133">
        <v>156105</v>
      </c>
      <c r="F38" s="133">
        <v>125000</v>
      </c>
      <c r="G38" s="133">
        <v>103092</v>
      </c>
      <c r="H38" s="134">
        <v>97800</v>
      </c>
      <c r="I38" s="55">
        <v>55.000000000000007</v>
      </c>
      <c r="J38" s="56">
        <v>51</v>
      </c>
    </row>
    <row r="39" spans="1:11" x14ac:dyDescent="0.25">
      <c r="A39" s="80"/>
      <c r="B39" s="78"/>
      <c r="C39" s="79"/>
      <c r="D39" s="79"/>
      <c r="E39" s="57"/>
      <c r="F39" s="57"/>
      <c r="G39" s="57"/>
      <c r="H39" s="57"/>
      <c r="I39" s="81"/>
      <c r="J39" s="81"/>
    </row>
    <row r="40" spans="1:11" ht="15" customHeight="1" x14ac:dyDescent="0.25">
      <c r="A40" s="380" t="s">
        <v>728</v>
      </c>
      <c r="B40" s="380"/>
      <c r="C40" s="380"/>
      <c r="D40" s="380"/>
      <c r="E40" s="380"/>
      <c r="F40" s="380"/>
      <c r="G40" s="380"/>
      <c r="H40" s="380"/>
      <c r="I40" s="380"/>
      <c r="J40" s="380"/>
      <c r="K40" s="327"/>
    </row>
    <row r="41" spans="1:11" x14ac:dyDescent="0.25">
      <c r="A41" s="380"/>
      <c r="B41" s="380"/>
      <c r="C41" s="380"/>
      <c r="D41" s="380"/>
      <c r="E41" s="380"/>
      <c r="F41" s="380"/>
      <c r="G41" s="380"/>
      <c r="H41" s="380"/>
      <c r="I41" s="380"/>
      <c r="J41" s="380"/>
      <c r="K41" s="327"/>
    </row>
    <row r="42" spans="1:11" x14ac:dyDescent="0.25">
      <c r="A42" s="380"/>
      <c r="B42" s="380"/>
      <c r="C42" s="380"/>
      <c r="D42" s="380"/>
      <c r="E42" s="380"/>
      <c r="F42" s="380"/>
      <c r="G42" s="380"/>
      <c r="H42" s="380"/>
      <c r="I42" s="380"/>
      <c r="J42" s="380"/>
      <c r="K42" s="327"/>
    </row>
    <row r="43" spans="1:11" x14ac:dyDescent="0.25">
      <c r="A43" s="380"/>
      <c r="B43" s="380"/>
      <c r="C43" s="380"/>
      <c r="D43" s="380"/>
      <c r="E43" s="380"/>
      <c r="F43" s="380"/>
      <c r="G43" s="380"/>
      <c r="H43" s="380"/>
      <c r="I43" s="380"/>
      <c r="J43" s="380"/>
      <c r="K43" s="327"/>
    </row>
    <row r="44" spans="1:11" x14ac:dyDescent="0.25">
      <c r="A44" s="380"/>
      <c r="B44" s="380"/>
      <c r="C44" s="380"/>
      <c r="D44" s="380"/>
      <c r="E44" s="380"/>
      <c r="F44" s="380"/>
      <c r="G44" s="380"/>
      <c r="H44" s="380"/>
      <c r="I44" s="380"/>
      <c r="J44" s="380"/>
      <c r="K44" s="327"/>
    </row>
    <row r="45" spans="1:11" x14ac:dyDescent="0.25">
      <c r="A45" s="380"/>
      <c r="B45" s="380"/>
      <c r="C45" s="380"/>
      <c r="D45" s="380"/>
      <c r="E45" s="380"/>
      <c r="F45" s="380"/>
      <c r="G45" s="380"/>
      <c r="H45" s="380"/>
      <c r="I45" s="380"/>
      <c r="J45" s="380"/>
      <c r="K45" s="327"/>
    </row>
    <row r="46" spans="1:11" x14ac:dyDescent="0.25">
      <c r="A46" s="380"/>
      <c r="B46" s="380"/>
      <c r="C46" s="380"/>
      <c r="D46" s="380"/>
      <c r="E46" s="380"/>
      <c r="F46" s="380"/>
      <c r="G46" s="380"/>
      <c r="H46" s="380"/>
      <c r="I46" s="380"/>
      <c r="J46" s="380"/>
    </row>
    <row r="47" spans="1:11" x14ac:dyDescent="0.25">
      <c r="A47" s="58" t="s">
        <v>206</v>
      </c>
    </row>
  </sheetData>
  <mergeCells count="8">
    <mergeCell ref="A40:J46"/>
    <mergeCell ref="A6:A15"/>
    <mergeCell ref="A16:A25"/>
    <mergeCell ref="A26:A38"/>
    <mergeCell ref="C4:D4"/>
    <mergeCell ref="E4:F4"/>
    <mergeCell ref="I4:J4"/>
    <mergeCell ref="G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activeCell="L12" sqref="L12"/>
    </sheetView>
  </sheetViews>
  <sheetFormatPr defaultColWidth="8.85546875" defaultRowHeight="15" x14ac:dyDescent="0.25"/>
  <cols>
    <col min="1" max="1" width="11.7109375" style="58" customWidth="1"/>
    <col min="2" max="7" width="8.85546875" style="58"/>
    <col min="8" max="8" width="10.7109375" style="58" customWidth="1"/>
    <col min="9" max="16384" width="8.85546875" style="58"/>
  </cols>
  <sheetData>
    <row r="1" spans="1:20" x14ac:dyDescent="0.25">
      <c r="A1" s="59" t="s">
        <v>238</v>
      </c>
    </row>
    <row r="2" spans="1:20" x14ac:dyDescent="0.25">
      <c r="A2" s="59"/>
    </row>
    <row r="3" spans="1:20" ht="15.75" thickBot="1" x14ac:dyDescent="0.3">
      <c r="A3" s="58" t="s">
        <v>60</v>
      </c>
    </row>
    <row r="4" spans="1:20" ht="15" customHeight="1" x14ac:dyDescent="0.25">
      <c r="A4" s="448" t="s">
        <v>193</v>
      </c>
      <c r="B4" s="449" t="s">
        <v>194</v>
      </c>
      <c r="C4" s="451" t="s">
        <v>45</v>
      </c>
      <c r="D4" s="451"/>
      <c r="E4" s="451"/>
      <c r="F4" s="451"/>
      <c r="G4" s="451"/>
      <c r="H4" s="451"/>
      <c r="I4" s="452" t="s">
        <v>44</v>
      </c>
      <c r="J4" s="452"/>
      <c r="K4" s="452"/>
      <c r="L4" s="452"/>
      <c r="M4" s="452"/>
      <c r="N4" s="374" t="s">
        <v>195</v>
      </c>
      <c r="O4" s="374"/>
      <c r="P4" s="374"/>
      <c r="Q4" s="374"/>
      <c r="R4" s="453"/>
    </row>
    <row r="5" spans="1:20" ht="30" x14ac:dyDescent="0.25">
      <c r="A5" s="369"/>
      <c r="B5" s="450"/>
      <c r="C5" s="84" t="s">
        <v>212</v>
      </c>
      <c r="D5" s="6" t="s">
        <v>213</v>
      </c>
      <c r="E5" s="6" t="s">
        <v>214</v>
      </c>
      <c r="F5" s="6" t="s">
        <v>215</v>
      </c>
      <c r="G5" s="74" t="s">
        <v>216</v>
      </c>
      <c r="H5" s="6" t="s">
        <v>217</v>
      </c>
      <c r="I5" s="6" t="s">
        <v>212</v>
      </c>
      <c r="J5" s="6" t="s">
        <v>213</v>
      </c>
      <c r="K5" s="6" t="s">
        <v>214</v>
      </c>
      <c r="L5" s="6" t="s">
        <v>215</v>
      </c>
      <c r="M5" s="74" t="s">
        <v>216</v>
      </c>
      <c r="N5" s="6" t="s">
        <v>212</v>
      </c>
      <c r="O5" s="6" t="s">
        <v>213</v>
      </c>
      <c r="P5" s="6" t="s">
        <v>214</v>
      </c>
      <c r="Q5" s="6" t="s">
        <v>215</v>
      </c>
      <c r="R5" s="140" t="s">
        <v>216</v>
      </c>
    </row>
    <row r="6" spans="1:20" x14ac:dyDescent="0.25">
      <c r="A6" s="141" t="s">
        <v>2</v>
      </c>
      <c r="B6" s="71"/>
      <c r="C6" s="71"/>
      <c r="D6" s="71"/>
      <c r="E6" s="71"/>
      <c r="F6" s="71"/>
      <c r="G6" s="71"/>
      <c r="H6" s="71"/>
      <c r="I6" s="71"/>
      <c r="J6" s="71"/>
      <c r="K6" s="71"/>
      <c r="L6" s="71"/>
      <c r="M6" s="71"/>
      <c r="N6" s="71"/>
      <c r="O6" s="71"/>
      <c r="P6" s="71"/>
      <c r="Q6" s="71"/>
      <c r="R6" s="122"/>
    </row>
    <row r="7" spans="1:20" x14ac:dyDescent="0.25">
      <c r="A7" s="142"/>
      <c r="B7" s="25">
        <v>1992</v>
      </c>
      <c r="C7" s="24">
        <v>1589</v>
      </c>
      <c r="D7" s="24">
        <v>422</v>
      </c>
      <c r="E7" s="24">
        <v>3507</v>
      </c>
      <c r="F7" s="24">
        <v>4310</v>
      </c>
      <c r="G7" s="24">
        <v>9827</v>
      </c>
      <c r="H7" s="24">
        <v>43591</v>
      </c>
      <c r="I7" s="24">
        <v>1052</v>
      </c>
      <c r="J7" s="24">
        <v>319</v>
      </c>
      <c r="K7" s="24">
        <v>2226</v>
      </c>
      <c r="L7" s="24">
        <v>1008</v>
      </c>
      <c r="M7" s="24">
        <v>4606</v>
      </c>
      <c r="N7" s="24">
        <v>1472</v>
      </c>
      <c r="O7" s="24">
        <v>400</v>
      </c>
      <c r="P7" s="24">
        <v>3229</v>
      </c>
      <c r="Q7" s="24">
        <v>3593</v>
      </c>
      <c r="R7" s="129">
        <v>8693</v>
      </c>
      <c r="T7" s="75"/>
    </row>
    <row r="8" spans="1:20" x14ac:dyDescent="0.25">
      <c r="A8" s="143"/>
      <c r="B8" s="12">
        <v>1995</v>
      </c>
      <c r="C8" s="17">
        <v>2090</v>
      </c>
      <c r="D8" s="17">
        <v>1352</v>
      </c>
      <c r="E8" s="17">
        <v>3778</v>
      </c>
      <c r="F8" s="17">
        <v>5061</v>
      </c>
      <c r="G8" s="17">
        <v>12281</v>
      </c>
      <c r="H8" s="17">
        <v>52640</v>
      </c>
      <c r="I8" s="17">
        <v>1229</v>
      </c>
      <c r="J8" s="17">
        <v>340</v>
      </c>
      <c r="K8" s="17">
        <v>1696</v>
      </c>
      <c r="L8" s="17">
        <v>1825</v>
      </c>
      <c r="M8" s="17">
        <v>5090</v>
      </c>
      <c r="N8" s="17">
        <v>1927</v>
      </c>
      <c r="O8" s="17">
        <v>1160</v>
      </c>
      <c r="P8" s="17">
        <v>3384</v>
      </c>
      <c r="Q8" s="17">
        <v>4448</v>
      </c>
      <c r="R8" s="130">
        <v>10919</v>
      </c>
      <c r="T8" s="75"/>
    </row>
    <row r="9" spans="1:20" x14ac:dyDescent="0.25">
      <c r="A9" s="143"/>
      <c r="B9" s="12">
        <v>1998</v>
      </c>
      <c r="C9" s="17">
        <v>3163</v>
      </c>
      <c r="D9" s="17">
        <v>1650</v>
      </c>
      <c r="E9" s="17">
        <v>6289</v>
      </c>
      <c r="F9" s="17">
        <v>8091</v>
      </c>
      <c r="G9" s="17">
        <v>19193</v>
      </c>
      <c r="H9" s="17">
        <v>70286</v>
      </c>
      <c r="I9" s="17">
        <v>2157</v>
      </c>
      <c r="J9" s="17">
        <v>1192</v>
      </c>
      <c r="K9" s="17">
        <v>2857</v>
      </c>
      <c r="L9" s="17">
        <v>1590</v>
      </c>
      <c r="M9" s="17">
        <v>7796</v>
      </c>
      <c r="N9" s="17">
        <v>2945</v>
      </c>
      <c r="O9" s="17">
        <v>1551</v>
      </c>
      <c r="P9" s="17">
        <v>5547</v>
      </c>
      <c r="Q9" s="17">
        <v>6686</v>
      </c>
      <c r="R9" s="130">
        <v>16730</v>
      </c>
      <c r="T9" s="75"/>
    </row>
    <row r="10" spans="1:20" x14ac:dyDescent="0.25">
      <c r="A10" s="143"/>
      <c r="B10" s="12">
        <v>2001</v>
      </c>
      <c r="C10" s="17">
        <v>2550</v>
      </c>
      <c r="D10" s="17">
        <v>1132</v>
      </c>
      <c r="E10" s="17">
        <v>5274</v>
      </c>
      <c r="F10" s="17">
        <v>7552</v>
      </c>
      <c r="G10" s="17">
        <v>16508</v>
      </c>
      <c r="H10" s="17">
        <v>74215</v>
      </c>
      <c r="I10" s="17">
        <v>1505</v>
      </c>
      <c r="J10" s="17">
        <v>963</v>
      </c>
      <c r="K10" s="17">
        <v>2299</v>
      </c>
      <c r="L10" s="17">
        <v>2755</v>
      </c>
      <c r="M10" s="17">
        <v>7522</v>
      </c>
      <c r="N10" s="17">
        <v>2349</v>
      </c>
      <c r="O10" s="17">
        <v>1099</v>
      </c>
      <c r="P10" s="17">
        <v>4701</v>
      </c>
      <c r="Q10" s="17">
        <v>6627</v>
      </c>
      <c r="R10" s="130">
        <v>14775</v>
      </c>
      <c r="T10" s="75"/>
    </row>
    <row r="11" spans="1:20" x14ac:dyDescent="0.25">
      <c r="A11" s="143"/>
      <c r="B11" s="12">
        <v>2004</v>
      </c>
      <c r="C11" s="17">
        <v>3471</v>
      </c>
      <c r="D11" s="17">
        <v>1591</v>
      </c>
      <c r="E11" s="17">
        <v>7097</v>
      </c>
      <c r="F11" s="17">
        <v>5737</v>
      </c>
      <c r="G11" s="17">
        <v>17896</v>
      </c>
      <c r="H11" s="17">
        <v>99627</v>
      </c>
      <c r="I11" s="17">
        <v>1958</v>
      </c>
      <c r="J11" s="17">
        <v>1297</v>
      </c>
      <c r="K11" s="17">
        <v>3205</v>
      </c>
      <c r="L11" s="17">
        <v>2149</v>
      </c>
      <c r="M11" s="17">
        <v>8609</v>
      </c>
      <c r="N11" s="17">
        <v>3163</v>
      </c>
      <c r="O11" s="17">
        <v>1531</v>
      </c>
      <c r="P11" s="17">
        <v>6304</v>
      </c>
      <c r="Q11" s="17">
        <v>5005</v>
      </c>
      <c r="R11" s="130">
        <v>16004</v>
      </c>
      <c r="T11" s="75"/>
    </row>
    <row r="12" spans="1:20" x14ac:dyDescent="0.25">
      <c r="A12" s="143"/>
      <c r="B12" s="12">
        <v>2007</v>
      </c>
      <c r="C12" s="17">
        <v>5217</v>
      </c>
      <c r="D12" s="17">
        <v>3126</v>
      </c>
      <c r="E12" s="17">
        <v>5803</v>
      </c>
      <c r="F12" s="17">
        <v>5089</v>
      </c>
      <c r="G12" s="17">
        <v>19234</v>
      </c>
      <c r="H12" s="17">
        <v>110243</v>
      </c>
      <c r="I12" s="17">
        <v>2063</v>
      </c>
      <c r="J12" s="17">
        <v>1131</v>
      </c>
      <c r="K12" s="17">
        <v>3290</v>
      </c>
      <c r="L12" s="17">
        <v>2787</v>
      </c>
      <c r="M12" s="17">
        <v>9272</v>
      </c>
      <c r="N12" s="17">
        <v>4608</v>
      </c>
      <c r="O12" s="17">
        <v>2741</v>
      </c>
      <c r="P12" s="17">
        <v>5318</v>
      </c>
      <c r="Q12" s="17">
        <v>4645</v>
      </c>
      <c r="R12" s="130">
        <v>17311</v>
      </c>
      <c r="T12" s="75"/>
    </row>
    <row r="13" spans="1:20" x14ac:dyDescent="0.25">
      <c r="A13" s="144"/>
      <c r="B13" s="21">
        <v>2010</v>
      </c>
      <c r="C13" s="22">
        <v>3963</v>
      </c>
      <c r="D13" s="22">
        <v>3563</v>
      </c>
      <c r="E13" s="22">
        <v>5700</v>
      </c>
      <c r="F13" s="22">
        <v>5622</v>
      </c>
      <c r="G13" s="22">
        <v>18847</v>
      </c>
      <c r="H13" s="22">
        <v>110735</v>
      </c>
      <c r="I13" s="22">
        <v>1851</v>
      </c>
      <c r="J13" s="22">
        <v>2914</v>
      </c>
      <c r="K13" s="22">
        <v>2086</v>
      </c>
      <c r="L13" s="22">
        <v>4379</v>
      </c>
      <c r="M13" s="22">
        <v>11232</v>
      </c>
      <c r="N13" s="22">
        <v>3486</v>
      </c>
      <c r="O13" s="22">
        <v>3417</v>
      </c>
      <c r="P13" s="22">
        <v>4885</v>
      </c>
      <c r="Q13" s="22">
        <v>5342</v>
      </c>
      <c r="R13" s="127">
        <v>17130</v>
      </c>
      <c r="T13" s="75"/>
    </row>
    <row r="14" spans="1:20" x14ac:dyDescent="0.25">
      <c r="A14" s="141" t="s">
        <v>196</v>
      </c>
      <c r="B14" s="71"/>
      <c r="C14" s="29"/>
      <c r="D14" s="29"/>
      <c r="E14" s="29"/>
      <c r="F14" s="29"/>
      <c r="G14" s="29"/>
      <c r="H14" s="29"/>
      <c r="I14" s="29"/>
      <c r="J14" s="29"/>
      <c r="K14" s="29"/>
      <c r="L14" s="29"/>
      <c r="M14" s="29"/>
      <c r="N14" s="29"/>
      <c r="O14" s="29"/>
      <c r="P14" s="29"/>
      <c r="Q14" s="29"/>
      <c r="R14" s="128"/>
    </row>
    <row r="15" spans="1:20" x14ac:dyDescent="0.25">
      <c r="A15" s="145"/>
      <c r="B15" s="25">
        <v>1992</v>
      </c>
      <c r="C15" s="24">
        <v>825</v>
      </c>
      <c r="D15" s="24">
        <v>190</v>
      </c>
      <c r="E15" s="24">
        <v>1138</v>
      </c>
      <c r="F15" s="24">
        <v>3851</v>
      </c>
      <c r="G15" s="24">
        <v>6004</v>
      </c>
      <c r="H15" s="24">
        <v>10847</v>
      </c>
      <c r="I15" s="24">
        <v>459</v>
      </c>
      <c r="J15" s="24">
        <v>0</v>
      </c>
      <c r="K15" s="24">
        <v>777</v>
      </c>
      <c r="L15" s="24">
        <v>337</v>
      </c>
      <c r="M15" s="24">
        <v>1573</v>
      </c>
      <c r="N15" s="24">
        <v>755</v>
      </c>
      <c r="O15" s="24">
        <v>153</v>
      </c>
      <c r="P15" s="24">
        <v>1069</v>
      </c>
      <c r="Q15" s="24">
        <v>3177</v>
      </c>
      <c r="R15" s="129">
        <v>5154</v>
      </c>
      <c r="S15" s="75"/>
    </row>
    <row r="16" spans="1:20" x14ac:dyDescent="0.25">
      <c r="A16" s="146"/>
      <c r="B16" s="12">
        <v>1995</v>
      </c>
      <c r="C16" s="17">
        <v>685</v>
      </c>
      <c r="D16" s="17">
        <v>106</v>
      </c>
      <c r="E16" s="17">
        <v>981</v>
      </c>
      <c r="F16" s="17">
        <v>2277</v>
      </c>
      <c r="G16" s="17">
        <v>4050</v>
      </c>
      <c r="H16" s="17">
        <v>12537</v>
      </c>
      <c r="I16" s="17">
        <v>486</v>
      </c>
      <c r="J16" s="17">
        <v>0</v>
      </c>
      <c r="K16" s="17">
        <v>670</v>
      </c>
      <c r="L16" s="17">
        <v>2595</v>
      </c>
      <c r="M16" s="17">
        <v>3751</v>
      </c>
      <c r="N16" s="17">
        <v>644</v>
      </c>
      <c r="O16" s="17">
        <v>84</v>
      </c>
      <c r="P16" s="17">
        <v>917</v>
      </c>
      <c r="Q16" s="17">
        <v>2343</v>
      </c>
      <c r="R16" s="130">
        <v>3988</v>
      </c>
      <c r="S16" s="75"/>
    </row>
    <row r="17" spans="1:20" x14ac:dyDescent="0.25">
      <c r="A17" s="146"/>
      <c r="B17" s="12">
        <v>1998</v>
      </c>
      <c r="C17" s="17">
        <v>1308</v>
      </c>
      <c r="D17" s="17">
        <v>87</v>
      </c>
      <c r="E17" s="17">
        <v>1757</v>
      </c>
      <c r="F17" s="17">
        <v>4605</v>
      </c>
      <c r="G17" s="17">
        <v>7756</v>
      </c>
      <c r="H17" s="17">
        <v>18576</v>
      </c>
      <c r="I17" s="17">
        <v>753</v>
      </c>
      <c r="J17" s="17">
        <v>0</v>
      </c>
      <c r="K17" s="17">
        <v>277</v>
      </c>
      <c r="L17" s="17">
        <v>616</v>
      </c>
      <c r="M17" s="17">
        <v>1646</v>
      </c>
      <c r="N17" s="17">
        <v>1200</v>
      </c>
      <c r="O17" s="17">
        <v>70</v>
      </c>
      <c r="P17" s="17">
        <v>1468</v>
      </c>
      <c r="Q17" s="17">
        <v>3826</v>
      </c>
      <c r="R17" s="130">
        <v>6563</v>
      </c>
      <c r="S17" s="75"/>
    </row>
    <row r="18" spans="1:20" x14ac:dyDescent="0.25">
      <c r="A18" s="146"/>
      <c r="B18" s="12">
        <v>2001</v>
      </c>
      <c r="C18" s="17">
        <v>1200</v>
      </c>
      <c r="D18" s="17">
        <v>10</v>
      </c>
      <c r="E18" s="17">
        <v>1839</v>
      </c>
      <c r="F18" s="17">
        <v>1848</v>
      </c>
      <c r="G18" s="17">
        <v>4898</v>
      </c>
      <c r="H18" s="17">
        <v>24381</v>
      </c>
      <c r="I18" s="17">
        <v>2312</v>
      </c>
      <c r="J18" s="17">
        <v>0</v>
      </c>
      <c r="K18" s="17">
        <v>350</v>
      </c>
      <c r="L18" s="17">
        <v>2631</v>
      </c>
      <c r="M18" s="17">
        <v>5293</v>
      </c>
      <c r="N18" s="17">
        <v>1397</v>
      </c>
      <c r="O18" s="17">
        <v>8</v>
      </c>
      <c r="P18" s="17">
        <v>1575</v>
      </c>
      <c r="Q18" s="17">
        <v>1987</v>
      </c>
      <c r="R18" s="130">
        <v>4968</v>
      </c>
      <c r="S18" s="75"/>
    </row>
    <row r="19" spans="1:20" x14ac:dyDescent="0.25">
      <c r="A19" s="147"/>
      <c r="B19" s="12">
        <v>2004</v>
      </c>
      <c r="C19" s="17">
        <v>1966</v>
      </c>
      <c r="D19" s="17">
        <v>366</v>
      </c>
      <c r="E19" s="17">
        <v>3419</v>
      </c>
      <c r="F19" s="17">
        <v>6621</v>
      </c>
      <c r="G19" s="17">
        <v>12372</v>
      </c>
      <c r="H19" s="17">
        <v>30712</v>
      </c>
      <c r="I19" s="17">
        <v>2355</v>
      </c>
      <c r="J19" s="17">
        <v>0</v>
      </c>
      <c r="K19" s="17">
        <v>1146</v>
      </c>
      <c r="L19" s="17">
        <v>2033</v>
      </c>
      <c r="M19" s="17">
        <v>5534</v>
      </c>
      <c r="N19" s="17">
        <v>2027</v>
      </c>
      <c r="O19" s="17">
        <v>309</v>
      </c>
      <c r="P19" s="17">
        <v>3061</v>
      </c>
      <c r="Q19" s="17">
        <v>5900</v>
      </c>
      <c r="R19" s="130">
        <v>11297</v>
      </c>
      <c r="S19" s="75"/>
    </row>
    <row r="20" spans="1:20" x14ac:dyDescent="0.25">
      <c r="A20" s="50"/>
      <c r="B20" s="12">
        <v>2007</v>
      </c>
      <c r="C20" s="17">
        <v>2913</v>
      </c>
      <c r="D20" s="17">
        <v>306</v>
      </c>
      <c r="E20" s="17">
        <v>2961</v>
      </c>
      <c r="F20" s="17">
        <v>3201</v>
      </c>
      <c r="G20" s="17">
        <v>9381</v>
      </c>
      <c r="H20" s="17">
        <v>51085</v>
      </c>
      <c r="I20" s="17">
        <v>2490</v>
      </c>
      <c r="J20" s="17">
        <v>1</v>
      </c>
      <c r="K20" s="17">
        <v>1194</v>
      </c>
      <c r="L20" s="17">
        <v>4121</v>
      </c>
      <c r="M20" s="17">
        <v>7806</v>
      </c>
      <c r="N20" s="17">
        <v>2850</v>
      </c>
      <c r="O20" s="17">
        <v>260</v>
      </c>
      <c r="P20" s="17">
        <v>2697</v>
      </c>
      <c r="Q20" s="17">
        <v>3338</v>
      </c>
      <c r="R20" s="130">
        <v>9145</v>
      </c>
      <c r="S20" s="75"/>
    </row>
    <row r="21" spans="1:20" x14ac:dyDescent="0.25">
      <c r="A21" s="148"/>
      <c r="B21" s="21">
        <v>2010</v>
      </c>
      <c r="C21" s="22">
        <v>1954</v>
      </c>
      <c r="D21" s="22">
        <v>512</v>
      </c>
      <c r="E21" s="22">
        <v>2865</v>
      </c>
      <c r="F21" s="22">
        <v>4096</v>
      </c>
      <c r="G21" s="22">
        <v>9427</v>
      </c>
      <c r="H21" s="22">
        <v>51219</v>
      </c>
      <c r="I21" s="22">
        <v>876</v>
      </c>
      <c r="J21" s="22">
        <v>103</v>
      </c>
      <c r="K21" s="22">
        <v>1930</v>
      </c>
      <c r="L21" s="22">
        <v>1624</v>
      </c>
      <c r="M21" s="22">
        <v>4533</v>
      </c>
      <c r="N21" s="22">
        <v>1770</v>
      </c>
      <c r="O21" s="22">
        <v>443</v>
      </c>
      <c r="P21" s="22">
        <v>2706</v>
      </c>
      <c r="Q21" s="22">
        <v>3676</v>
      </c>
      <c r="R21" s="127">
        <v>8594</v>
      </c>
      <c r="S21" s="75"/>
    </row>
    <row r="22" spans="1:20" x14ac:dyDescent="0.25">
      <c r="A22" s="149" t="s">
        <v>145</v>
      </c>
      <c r="B22" s="71"/>
      <c r="C22" s="29"/>
      <c r="D22" s="29"/>
      <c r="E22" s="29"/>
      <c r="F22" s="29"/>
      <c r="G22" s="29"/>
      <c r="H22" s="29"/>
      <c r="I22" s="29"/>
      <c r="J22" s="29"/>
      <c r="K22" s="29"/>
      <c r="L22" s="29"/>
      <c r="M22" s="29"/>
      <c r="N22" s="29"/>
      <c r="O22" s="29"/>
      <c r="P22" s="29"/>
      <c r="Q22" s="29"/>
      <c r="R22" s="128"/>
    </row>
    <row r="23" spans="1:20" x14ac:dyDescent="0.25">
      <c r="A23" s="145"/>
      <c r="B23" s="25">
        <v>1992</v>
      </c>
      <c r="C23" s="24">
        <v>454</v>
      </c>
      <c r="D23" s="24">
        <v>0</v>
      </c>
      <c r="E23" s="24">
        <v>137</v>
      </c>
      <c r="F23" s="24">
        <v>1081</v>
      </c>
      <c r="G23" s="24">
        <v>1672</v>
      </c>
      <c r="H23" s="24">
        <v>3113</v>
      </c>
      <c r="I23" s="24">
        <v>40</v>
      </c>
      <c r="J23" s="24">
        <v>0</v>
      </c>
      <c r="K23" s="24">
        <v>311</v>
      </c>
      <c r="L23" s="24">
        <v>369</v>
      </c>
      <c r="M23" s="24">
        <v>721</v>
      </c>
      <c r="N23" s="24">
        <v>329</v>
      </c>
      <c r="O23" s="24">
        <v>0</v>
      </c>
      <c r="P23" s="24">
        <v>190</v>
      </c>
      <c r="Q23" s="24">
        <v>866</v>
      </c>
      <c r="R23" s="129">
        <v>1385</v>
      </c>
      <c r="T23" s="75"/>
    </row>
    <row r="24" spans="1:20" x14ac:dyDescent="0.25">
      <c r="A24" s="50"/>
      <c r="B24" s="12">
        <v>1995</v>
      </c>
      <c r="C24" s="17">
        <v>302</v>
      </c>
      <c r="D24" s="17">
        <v>26</v>
      </c>
      <c r="E24" s="17">
        <v>306</v>
      </c>
      <c r="F24" s="17">
        <v>358</v>
      </c>
      <c r="G24" s="17">
        <v>992</v>
      </c>
      <c r="H24" s="17">
        <v>1323</v>
      </c>
      <c r="I24" s="17">
        <v>81</v>
      </c>
      <c r="J24" s="17">
        <v>0</v>
      </c>
      <c r="K24" s="17">
        <v>0</v>
      </c>
      <c r="L24" s="17">
        <v>31</v>
      </c>
      <c r="M24" s="17">
        <v>112</v>
      </c>
      <c r="N24" s="17">
        <v>225</v>
      </c>
      <c r="O24" s="17">
        <v>17</v>
      </c>
      <c r="P24" s="17">
        <v>200</v>
      </c>
      <c r="Q24" s="17">
        <v>245</v>
      </c>
      <c r="R24" s="130">
        <v>688</v>
      </c>
      <c r="T24" s="75"/>
    </row>
    <row r="25" spans="1:20" x14ac:dyDescent="0.25">
      <c r="A25" s="50"/>
      <c r="B25" s="12">
        <v>1998</v>
      </c>
      <c r="C25" s="17">
        <v>289</v>
      </c>
      <c r="D25" s="17">
        <v>0</v>
      </c>
      <c r="E25" s="17">
        <v>400</v>
      </c>
      <c r="F25" s="17">
        <v>1234</v>
      </c>
      <c r="G25" s="17">
        <v>1923</v>
      </c>
      <c r="H25" s="17">
        <v>4683</v>
      </c>
      <c r="I25" s="17">
        <v>462</v>
      </c>
      <c r="J25" s="17">
        <v>0</v>
      </c>
      <c r="K25" s="17">
        <v>441</v>
      </c>
      <c r="L25" s="17">
        <v>11</v>
      </c>
      <c r="M25" s="17">
        <v>915</v>
      </c>
      <c r="N25" s="17">
        <v>331</v>
      </c>
      <c r="O25" s="17">
        <v>0</v>
      </c>
      <c r="P25" s="17">
        <v>410</v>
      </c>
      <c r="Q25" s="17">
        <v>942</v>
      </c>
      <c r="R25" s="130">
        <v>1683</v>
      </c>
      <c r="T25" s="75"/>
    </row>
    <row r="26" spans="1:20" x14ac:dyDescent="0.25">
      <c r="A26" s="50"/>
      <c r="B26" s="12">
        <v>2001</v>
      </c>
      <c r="C26" s="17">
        <v>507</v>
      </c>
      <c r="D26" s="17">
        <v>16</v>
      </c>
      <c r="E26" s="17">
        <v>189</v>
      </c>
      <c r="F26" s="17">
        <v>2493</v>
      </c>
      <c r="G26" s="17">
        <v>3206</v>
      </c>
      <c r="H26" s="17">
        <v>3875</v>
      </c>
      <c r="I26" s="17">
        <v>159</v>
      </c>
      <c r="J26" s="17">
        <v>0</v>
      </c>
      <c r="K26" s="17">
        <v>284</v>
      </c>
      <c r="L26" s="17">
        <v>10</v>
      </c>
      <c r="M26" s="17">
        <v>454</v>
      </c>
      <c r="N26" s="17">
        <v>404</v>
      </c>
      <c r="O26" s="17">
        <v>11</v>
      </c>
      <c r="P26" s="17">
        <v>217</v>
      </c>
      <c r="Q26" s="17">
        <v>1756</v>
      </c>
      <c r="R26" s="130">
        <v>2389</v>
      </c>
      <c r="T26" s="75"/>
    </row>
    <row r="27" spans="1:20" x14ac:dyDescent="0.25">
      <c r="A27" s="50"/>
      <c r="B27" s="12">
        <v>2004</v>
      </c>
      <c r="C27" s="17">
        <v>339</v>
      </c>
      <c r="D27" s="17">
        <v>0</v>
      </c>
      <c r="E27" s="17">
        <v>469</v>
      </c>
      <c r="F27" s="17">
        <v>5572</v>
      </c>
      <c r="G27" s="17">
        <v>6379</v>
      </c>
      <c r="H27" s="17">
        <v>8952</v>
      </c>
      <c r="I27" s="17">
        <v>380</v>
      </c>
      <c r="J27" s="17">
        <v>0</v>
      </c>
      <c r="K27" s="17">
        <v>0</v>
      </c>
      <c r="L27" s="17">
        <v>275</v>
      </c>
      <c r="M27" s="17">
        <v>655</v>
      </c>
      <c r="N27" s="17">
        <v>347</v>
      </c>
      <c r="O27" s="17">
        <v>0</v>
      </c>
      <c r="P27" s="17">
        <v>378</v>
      </c>
      <c r="Q27" s="17">
        <v>4548</v>
      </c>
      <c r="R27" s="130">
        <v>5273</v>
      </c>
      <c r="T27" s="75"/>
    </row>
    <row r="28" spans="1:20" x14ac:dyDescent="0.25">
      <c r="A28" s="50"/>
      <c r="B28" s="12">
        <v>2007</v>
      </c>
      <c r="C28" s="17">
        <v>228</v>
      </c>
      <c r="D28" s="17">
        <v>149</v>
      </c>
      <c r="E28" s="17">
        <v>332</v>
      </c>
      <c r="F28" s="17">
        <v>1244</v>
      </c>
      <c r="G28" s="17">
        <v>1952</v>
      </c>
      <c r="H28" s="17">
        <v>9171</v>
      </c>
      <c r="I28" s="17">
        <v>476</v>
      </c>
      <c r="J28" s="17">
        <v>0</v>
      </c>
      <c r="K28" s="17">
        <v>1132</v>
      </c>
      <c r="L28" s="17">
        <v>417</v>
      </c>
      <c r="M28" s="17">
        <v>2026</v>
      </c>
      <c r="N28" s="17">
        <v>294</v>
      </c>
      <c r="O28" s="17">
        <v>109</v>
      </c>
      <c r="P28" s="17">
        <v>545</v>
      </c>
      <c r="Q28" s="17">
        <v>1024</v>
      </c>
      <c r="R28" s="130">
        <v>1971</v>
      </c>
      <c r="T28" s="75"/>
    </row>
    <row r="29" spans="1:20" ht="15.75" thickBot="1" x14ac:dyDescent="0.3">
      <c r="A29" s="54"/>
      <c r="B29" s="150">
        <v>2010</v>
      </c>
      <c r="C29" s="133">
        <v>653</v>
      </c>
      <c r="D29" s="133">
        <v>419</v>
      </c>
      <c r="E29" s="133">
        <v>678</v>
      </c>
      <c r="F29" s="133">
        <v>1449</v>
      </c>
      <c r="G29" s="133">
        <v>3198</v>
      </c>
      <c r="H29" s="133">
        <v>17970</v>
      </c>
      <c r="I29" s="133">
        <v>665</v>
      </c>
      <c r="J29" s="133">
        <v>751</v>
      </c>
      <c r="K29" s="133">
        <v>1194</v>
      </c>
      <c r="L29" s="133">
        <v>1005</v>
      </c>
      <c r="M29" s="133">
        <v>3615</v>
      </c>
      <c r="N29" s="133">
        <v>655</v>
      </c>
      <c r="O29" s="133">
        <v>485</v>
      </c>
      <c r="P29" s="133">
        <v>780</v>
      </c>
      <c r="Q29" s="133">
        <v>1361</v>
      </c>
      <c r="R29" s="134">
        <v>3280</v>
      </c>
      <c r="T29" s="75"/>
    </row>
    <row r="31" spans="1:20" ht="15" customHeight="1" x14ac:dyDescent="0.25">
      <c r="A31" s="351" t="s">
        <v>730</v>
      </c>
      <c r="B31" s="351"/>
      <c r="C31" s="351"/>
      <c r="D31" s="351"/>
      <c r="E31" s="351"/>
      <c r="F31" s="351"/>
      <c r="G31" s="351"/>
      <c r="H31" s="351"/>
      <c r="I31" s="351"/>
      <c r="J31" s="351"/>
      <c r="K31" s="351"/>
      <c r="L31" s="351"/>
      <c r="M31" s="351"/>
      <c r="N31" s="351"/>
      <c r="O31" s="351"/>
      <c r="P31" s="351"/>
      <c r="Q31" s="351"/>
      <c r="R31" s="351"/>
    </row>
    <row r="32" spans="1:20" x14ac:dyDescent="0.25">
      <c r="A32" s="351"/>
      <c r="B32" s="351"/>
      <c r="C32" s="351"/>
      <c r="D32" s="351"/>
      <c r="E32" s="351"/>
      <c r="F32" s="351"/>
      <c r="G32" s="351"/>
      <c r="H32" s="351"/>
      <c r="I32" s="351"/>
      <c r="J32" s="351"/>
      <c r="K32" s="351"/>
      <c r="L32" s="351"/>
      <c r="M32" s="351"/>
      <c r="N32" s="351"/>
      <c r="O32" s="351"/>
      <c r="P32" s="351"/>
      <c r="Q32" s="351"/>
      <c r="R32" s="351"/>
    </row>
    <row r="33" spans="1:18" x14ac:dyDescent="0.25">
      <c r="A33" s="351"/>
      <c r="B33" s="351"/>
      <c r="C33" s="351"/>
      <c r="D33" s="351"/>
      <c r="E33" s="351"/>
      <c r="F33" s="351"/>
      <c r="G33" s="351"/>
      <c r="H33" s="351"/>
      <c r="I33" s="351"/>
      <c r="J33" s="351"/>
      <c r="K33" s="351"/>
      <c r="L33" s="351"/>
      <c r="M33" s="351"/>
      <c r="N33" s="351"/>
      <c r="O33" s="351"/>
      <c r="P33" s="351"/>
      <c r="Q33" s="351"/>
      <c r="R33" s="351"/>
    </row>
    <row r="34" spans="1:18" x14ac:dyDescent="0.25">
      <c r="A34" s="351"/>
      <c r="B34" s="351"/>
      <c r="C34" s="351"/>
      <c r="D34" s="351"/>
      <c r="E34" s="351"/>
      <c r="F34" s="351"/>
      <c r="G34" s="351"/>
      <c r="H34" s="351"/>
      <c r="I34" s="351"/>
      <c r="J34" s="351"/>
      <c r="K34" s="351"/>
      <c r="L34" s="351"/>
      <c r="M34" s="351"/>
      <c r="N34" s="351"/>
      <c r="O34" s="351"/>
      <c r="P34" s="351"/>
      <c r="Q34" s="351"/>
      <c r="R34" s="351"/>
    </row>
    <row r="35" spans="1:18" x14ac:dyDescent="0.25">
      <c r="A35" s="351"/>
      <c r="B35" s="351"/>
      <c r="C35" s="351"/>
      <c r="D35" s="351"/>
      <c r="E35" s="351"/>
      <c r="F35" s="351"/>
      <c r="G35" s="351"/>
      <c r="H35" s="351"/>
      <c r="I35" s="351"/>
      <c r="J35" s="351"/>
      <c r="K35" s="351"/>
      <c r="L35" s="351"/>
      <c r="M35" s="351"/>
      <c r="N35" s="351"/>
      <c r="O35" s="351"/>
      <c r="P35" s="351"/>
      <c r="Q35" s="351"/>
      <c r="R35" s="351"/>
    </row>
    <row r="36" spans="1:18" hidden="1" x14ac:dyDescent="0.25">
      <c r="A36" s="351"/>
      <c r="B36" s="351"/>
      <c r="C36" s="351"/>
      <c r="D36" s="351"/>
      <c r="E36" s="351"/>
      <c r="F36" s="351"/>
      <c r="G36" s="351"/>
      <c r="H36" s="351"/>
      <c r="I36" s="351"/>
      <c r="J36" s="351"/>
      <c r="K36" s="351"/>
      <c r="L36" s="351"/>
      <c r="M36" s="351"/>
      <c r="N36" s="351"/>
      <c r="O36" s="351"/>
      <c r="P36" s="351"/>
      <c r="Q36" s="351"/>
      <c r="R36" s="351"/>
    </row>
    <row r="37" spans="1:18" x14ac:dyDescent="0.25">
      <c r="A37" s="58" t="s">
        <v>197</v>
      </c>
      <c r="B37" s="3"/>
      <c r="C37" s="57"/>
      <c r="D37" s="57"/>
      <c r="E37" s="57"/>
      <c r="F37" s="57"/>
      <c r="G37" s="57"/>
      <c r="I37" s="75"/>
    </row>
  </sheetData>
  <mergeCells count="6">
    <mergeCell ref="A31:R36"/>
    <mergeCell ref="A4:A5"/>
    <mergeCell ref="B4:B5"/>
    <mergeCell ref="C4:H4"/>
    <mergeCell ref="I4:M4"/>
    <mergeCell ref="N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activeCell="N9" sqref="N9"/>
    </sheetView>
  </sheetViews>
  <sheetFormatPr defaultRowHeight="15" x14ac:dyDescent="0.25"/>
  <cols>
    <col min="1" max="1" width="18.5703125" style="9" customWidth="1"/>
    <col min="2" max="3" width="18.7109375" style="9" customWidth="1"/>
    <col min="4" max="4" width="15.140625" style="9" customWidth="1"/>
    <col min="5" max="5" width="18.7109375" style="9" customWidth="1"/>
    <col min="6" max="6" width="16.140625" style="9" customWidth="1"/>
    <col min="7" max="7" width="15.5703125" style="9" customWidth="1"/>
    <col min="8" max="8" width="12" style="9" customWidth="1"/>
    <col min="9" max="9" width="11.42578125" style="9" customWidth="1"/>
    <col min="10" max="10" width="9.140625" style="9"/>
    <col min="11" max="11" width="10.7109375" style="9" customWidth="1"/>
    <col min="12" max="16384" width="9.140625" style="9"/>
  </cols>
  <sheetData>
    <row r="1" spans="1:11" x14ac:dyDescent="0.25">
      <c r="A1" s="10" t="s">
        <v>142</v>
      </c>
    </row>
    <row r="3" spans="1:11" x14ac:dyDescent="0.25">
      <c r="A3" s="329" t="s">
        <v>701</v>
      </c>
      <c r="B3" s="329"/>
      <c r="C3" s="329"/>
      <c r="D3" s="329"/>
      <c r="E3" s="329"/>
      <c r="F3" s="329"/>
      <c r="G3" s="329"/>
      <c r="H3" s="329"/>
    </row>
    <row r="4" spans="1:11" ht="15.75" thickBot="1" x14ac:dyDescent="0.3">
      <c r="A4" s="279" t="s">
        <v>700</v>
      </c>
    </row>
    <row r="5" spans="1:11" s="58" customFormat="1" x14ac:dyDescent="0.25">
      <c r="A5" s="334" t="s">
        <v>704</v>
      </c>
      <c r="B5" s="337" t="s">
        <v>4</v>
      </c>
      <c r="C5" s="332" t="s">
        <v>703</v>
      </c>
      <c r="D5" s="332"/>
      <c r="E5" s="332"/>
      <c r="F5" s="332"/>
      <c r="G5" s="332"/>
      <c r="H5" s="333"/>
    </row>
    <row r="6" spans="1:11" s="58" customFormat="1" x14ac:dyDescent="0.25">
      <c r="A6" s="335"/>
      <c r="B6" s="338"/>
      <c r="C6" s="344" t="s">
        <v>725</v>
      </c>
      <c r="D6" s="345"/>
      <c r="E6" s="344" t="s">
        <v>726</v>
      </c>
      <c r="F6" s="345"/>
      <c r="G6" s="346" t="s">
        <v>112</v>
      </c>
      <c r="H6" s="348" t="s">
        <v>113</v>
      </c>
    </row>
    <row r="7" spans="1:11" x14ac:dyDescent="0.25">
      <c r="A7" s="336"/>
      <c r="B7" s="339"/>
      <c r="C7" s="278" t="s">
        <v>727</v>
      </c>
      <c r="D7" s="278" t="s">
        <v>174</v>
      </c>
      <c r="E7" s="278" t="s">
        <v>727</v>
      </c>
      <c r="F7" s="278" t="s">
        <v>174</v>
      </c>
      <c r="G7" s="347"/>
      <c r="H7" s="349"/>
    </row>
    <row r="8" spans="1:11" x14ac:dyDescent="0.25">
      <c r="A8" s="340" t="s">
        <v>713</v>
      </c>
      <c r="B8" s="312">
        <v>313914.03999999998</v>
      </c>
      <c r="C8" s="304">
        <v>179991.03100000002</v>
      </c>
      <c r="D8" s="304">
        <v>45284.349000000002</v>
      </c>
      <c r="E8" s="304">
        <v>7925.0309999999999</v>
      </c>
      <c r="F8" s="304">
        <v>54741.466</v>
      </c>
      <c r="G8" s="304">
        <v>17943.485000000001</v>
      </c>
      <c r="H8" s="307">
        <v>8028.6779999999999</v>
      </c>
    </row>
    <row r="9" spans="1:11" ht="15.75" thickBot="1" x14ac:dyDescent="0.3">
      <c r="A9" s="341"/>
      <c r="B9" s="316">
        <v>100</v>
      </c>
      <c r="C9" s="320">
        <v>57.337681041599794</v>
      </c>
      <c r="D9" s="320">
        <v>14.425716352158064</v>
      </c>
      <c r="E9" s="320">
        <v>2.52458634854306</v>
      </c>
      <c r="F9" s="320">
        <v>17.438361788469226</v>
      </c>
      <c r="G9" s="320">
        <v>5.7160504831195187</v>
      </c>
      <c r="H9" s="321">
        <v>2.5576039861103377</v>
      </c>
    </row>
    <row r="10" spans="1:11" x14ac:dyDescent="0.25">
      <c r="A10" s="330" t="s">
        <v>1</v>
      </c>
      <c r="B10" s="322">
        <v>209696.86300000001</v>
      </c>
      <c r="C10" s="323">
        <v>107743.54700000001</v>
      </c>
      <c r="D10" s="323">
        <v>37491.042999999998</v>
      </c>
      <c r="E10" s="323">
        <v>4175.0770000000002</v>
      </c>
      <c r="F10" s="323">
        <v>42733.523000000001</v>
      </c>
      <c r="G10" s="323">
        <v>4526.8959999999997</v>
      </c>
      <c r="H10" s="324">
        <v>5695.0389999999998</v>
      </c>
    </row>
    <row r="11" spans="1:11" ht="15.75" thickBot="1" x14ac:dyDescent="0.3">
      <c r="A11" s="331"/>
      <c r="B11" s="315">
        <v>100</v>
      </c>
      <c r="C11" s="310">
        <v>51.380619365774685</v>
      </c>
      <c r="D11" s="310">
        <v>17.878685672088476</v>
      </c>
      <c r="E11" s="310">
        <v>1.9910059407994101</v>
      </c>
      <c r="F11" s="310">
        <v>20.378713533735603</v>
      </c>
      <c r="G11" s="310">
        <v>5.6551318080518929</v>
      </c>
      <c r="H11" s="311">
        <v>2.7158436795499417</v>
      </c>
      <c r="K11" s="40"/>
    </row>
    <row r="12" spans="1:11" x14ac:dyDescent="0.25">
      <c r="A12" s="342" t="s">
        <v>121</v>
      </c>
      <c r="B12" s="317">
        <v>104217.177</v>
      </c>
      <c r="C12" s="318">
        <v>72247.483999999997</v>
      </c>
      <c r="D12" s="318">
        <v>7793.3060000000005</v>
      </c>
      <c r="E12" s="318">
        <v>3749.9540000000002</v>
      </c>
      <c r="F12" s="318">
        <v>12007.943000000001</v>
      </c>
      <c r="G12" s="318">
        <v>6084.8510000000006</v>
      </c>
      <c r="H12" s="319">
        <v>2333.6390000000001</v>
      </c>
    </row>
    <row r="13" spans="1:11" x14ac:dyDescent="0.25">
      <c r="A13" s="343"/>
      <c r="B13" s="313">
        <v>100</v>
      </c>
      <c r="C13" s="305">
        <v>69.323969502647344</v>
      </c>
      <c r="D13" s="305">
        <v>7.4779477091381965</v>
      </c>
      <c r="E13" s="305">
        <v>3.5982110703305654</v>
      </c>
      <c r="F13" s="305">
        <v>11.522038252868814</v>
      </c>
      <c r="G13" s="305">
        <v>5.8386258150132004</v>
      </c>
      <c r="H13" s="309">
        <v>2.2392076500018803</v>
      </c>
    </row>
    <row r="14" spans="1:11" x14ac:dyDescent="0.25">
      <c r="A14" s="328" t="s">
        <v>705</v>
      </c>
      <c r="B14" s="314">
        <v>22502.653000000002</v>
      </c>
      <c r="C14" s="306">
        <v>15191.210000000001</v>
      </c>
      <c r="D14" s="306">
        <v>2304.6040000000003</v>
      </c>
      <c r="E14" s="306">
        <v>587.33199999999999</v>
      </c>
      <c r="F14" s="306">
        <v>2752.1590000000001</v>
      </c>
      <c r="G14" s="306">
        <v>7331.7380000000003</v>
      </c>
      <c r="H14" s="308">
        <v>346.40899999999999</v>
      </c>
    </row>
    <row r="15" spans="1:11" x14ac:dyDescent="0.25">
      <c r="A15" s="328"/>
      <c r="B15" s="313">
        <v>100</v>
      </c>
      <c r="C15" s="305">
        <v>67.508528883238796</v>
      </c>
      <c r="D15" s="305">
        <v>10.241476860528401</v>
      </c>
      <c r="E15" s="305">
        <v>2.6100566897600919</v>
      </c>
      <c r="F15" s="305">
        <v>12.230375680591973</v>
      </c>
      <c r="G15" s="305">
        <v>5.8701478443452864</v>
      </c>
      <c r="H15" s="309">
        <v>1.539414041535458</v>
      </c>
    </row>
    <row r="16" spans="1:11" x14ac:dyDescent="0.25">
      <c r="A16" s="328" t="s">
        <v>706</v>
      </c>
      <c r="B16" s="314">
        <v>20634.808000000001</v>
      </c>
      <c r="C16" s="306">
        <v>14389.502</v>
      </c>
      <c r="D16" s="306">
        <v>1787.0029999999999</v>
      </c>
      <c r="E16" s="306">
        <v>618.84699999999998</v>
      </c>
      <c r="F16" s="306">
        <v>2387.5070000000001</v>
      </c>
      <c r="G16" s="306">
        <v>1320.9390000000001</v>
      </c>
      <c r="H16" s="308">
        <v>276.05400000000003</v>
      </c>
    </row>
    <row r="17" spans="1:8" x14ac:dyDescent="0.25">
      <c r="A17" s="328"/>
      <c r="B17" s="313">
        <v>100</v>
      </c>
      <c r="C17" s="305">
        <v>69.734121102556429</v>
      </c>
      <c r="D17" s="305">
        <v>8.6601387325726513</v>
      </c>
      <c r="E17" s="305">
        <v>2.999044139397856</v>
      </c>
      <c r="F17" s="305">
        <v>11.570289386748838</v>
      </c>
      <c r="G17" s="305">
        <v>5.6985991825075386</v>
      </c>
      <c r="H17" s="309">
        <v>1.3378074562166995</v>
      </c>
    </row>
    <row r="18" spans="1:8" x14ac:dyDescent="0.25">
      <c r="A18" s="328" t="s">
        <v>707</v>
      </c>
      <c r="B18" s="314">
        <v>17954.152000000002</v>
      </c>
      <c r="C18" s="306">
        <v>12914.291000000001</v>
      </c>
      <c r="D18" s="306">
        <v>1289.6079999999999</v>
      </c>
      <c r="E18" s="306">
        <v>604.61199999999997</v>
      </c>
      <c r="F18" s="306">
        <v>1908.587</v>
      </c>
      <c r="G18" s="306">
        <v>1031.5810000000001</v>
      </c>
      <c r="H18" s="308">
        <v>205.47300000000001</v>
      </c>
    </row>
    <row r="19" spans="1:8" x14ac:dyDescent="0.25">
      <c r="A19" s="328"/>
      <c r="B19" s="313">
        <v>100</v>
      </c>
      <c r="C19" s="305">
        <v>71.929272961485452</v>
      </c>
      <c r="D19" s="305">
        <v>7.182784238431311</v>
      </c>
      <c r="E19" s="305">
        <v>3.3675330363695259</v>
      </c>
      <c r="F19" s="305">
        <v>10.630337762540943</v>
      </c>
      <c r="G19" s="305">
        <v>5.7456403399057772</v>
      </c>
      <c r="H19" s="309">
        <v>1.1444316612669871</v>
      </c>
    </row>
    <row r="20" spans="1:8" x14ac:dyDescent="0.25">
      <c r="A20" s="328" t="s">
        <v>708</v>
      </c>
      <c r="B20" s="314">
        <v>13882.106</v>
      </c>
      <c r="C20" s="306">
        <v>10088.960999999999</v>
      </c>
      <c r="D20" s="306">
        <v>847.78100000000006</v>
      </c>
      <c r="E20" s="306">
        <v>540.09699999999998</v>
      </c>
      <c r="F20" s="306">
        <v>1365.502</v>
      </c>
      <c r="G20" s="306">
        <v>859.072</v>
      </c>
      <c r="H20" s="308">
        <v>180.69300000000001</v>
      </c>
    </row>
    <row r="21" spans="1:8" x14ac:dyDescent="0.25">
      <c r="A21" s="328"/>
      <c r="B21" s="313">
        <v>100</v>
      </c>
      <c r="C21" s="305">
        <v>72.67601183854957</v>
      </c>
      <c r="D21" s="305">
        <v>6.1070056661431629</v>
      </c>
      <c r="E21" s="305">
        <v>3.8905984437807928</v>
      </c>
      <c r="F21" s="305">
        <v>9.836418191879531</v>
      </c>
      <c r="G21" s="305">
        <v>6.188340587516044</v>
      </c>
      <c r="H21" s="309">
        <v>1.3016252721309001</v>
      </c>
    </row>
    <row r="22" spans="1:8" x14ac:dyDescent="0.25">
      <c r="A22" s="328" t="s">
        <v>709</v>
      </c>
      <c r="B22" s="314">
        <v>10122.145</v>
      </c>
      <c r="C22" s="306">
        <v>7286.3720000000003</v>
      </c>
      <c r="D22" s="306">
        <v>566.33699999999999</v>
      </c>
      <c r="E22" s="306">
        <v>421.41899999999998</v>
      </c>
      <c r="F22" s="306">
        <v>1009.087</v>
      </c>
      <c r="G22" s="306">
        <v>667.05200000000002</v>
      </c>
      <c r="H22" s="308">
        <v>171.87800000000001</v>
      </c>
    </row>
    <row r="23" spans="1:8" x14ac:dyDescent="0.25">
      <c r="A23" s="328"/>
      <c r="B23" s="313">
        <v>100</v>
      </c>
      <c r="C23" s="305">
        <v>71.984465743179925</v>
      </c>
      <c r="D23" s="305">
        <v>5.5950295120253655</v>
      </c>
      <c r="E23" s="305">
        <v>4.1633369211762927</v>
      </c>
      <c r="F23" s="305">
        <v>9.9691023987504614</v>
      </c>
      <c r="G23" s="305">
        <v>6.5900261258853732</v>
      </c>
      <c r="H23" s="309">
        <v>1.6980392989825774</v>
      </c>
    </row>
    <row r="24" spans="1:8" x14ac:dyDescent="0.25">
      <c r="A24" s="328" t="s">
        <v>710</v>
      </c>
      <c r="B24" s="314">
        <v>7482.8020000000006</v>
      </c>
      <c r="C24" s="306">
        <v>5268.5280000000002</v>
      </c>
      <c r="D24" s="306">
        <v>396.39300000000003</v>
      </c>
      <c r="E24" s="306">
        <v>340.21500000000003</v>
      </c>
      <c r="F24" s="306">
        <v>797.39099999999996</v>
      </c>
      <c r="G24" s="306">
        <v>488.78199999999998</v>
      </c>
      <c r="H24" s="308">
        <v>191.49299999999999</v>
      </c>
    </row>
    <row r="25" spans="1:8" x14ac:dyDescent="0.25">
      <c r="A25" s="328"/>
      <c r="B25" s="313">
        <v>100</v>
      </c>
      <c r="C25" s="305">
        <v>70.408491364598447</v>
      </c>
      <c r="D25" s="305">
        <v>5.2973872621512639</v>
      </c>
      <c r="E25" s="305">
        <v>4.5466257158748826</v>
      </c>
      <c r="F25" s="305">
        <v>10.656315642188581</v>
      </c>
      <c r="G25" s="305">
        <v>6.5320718094638881</v>
      </c>
      <c r="H25" s="309">
        <v>2.5591082057229366</v>
      </c>
    </row>
    <row r="26" spans="1:8" x14ac:dyDescent="0.25">
      <c r="A26" s="328" t="s">
        <v>711</v>
      </c>
      <c r="B26" s="314">
        <v>5790.0889999999999</v>
      </c>
      <c r="C26" s="306">
        <v>3859.8870000000002</v>
      </c>
      <c r="D26" s="306">
        <v>301.20300000000003</v>
      </c>
      <c r="E26" s="306">
        <v>303.00100000000003</v>
      </c>
      <c r="F26" s="306">
        <v>734.40899999999999</v>
      </c>
      <c r="G26" s="306">
        <v>314.28399999999999</v>
      </c>
      <c r="H26" s="308">
        <v>277.30500000000001</v>
      </c>
    </row>
    <row r="27" spans="1:8" x14ac:dyDescent="0.25">
      <c r="A27" s="328"/>
      <c r="B27" s="313">
        <v>100</v>
      </c>
      <c r="C27" s="305">
        <v>66.663690316331923</v>
      </c>
      <c r="D27" s="305">
        <v>5.2020443899912419</v>
      </c>
      <c r="E27" s="305">
        <v>5.2330974532515819</v>
      </c>
      <c r="F27" s="305">
        <v>12.683898295863846</v>
      </c>
      <c r="G27" s="305">
        <v>5.4279649242006478</v>
      </c>
      <c r="H27" s="309">
        <v>4.7893046203607579</v>
      </c>
    </row>
    <row r="28" spans="1:8" x14ac:dyDescent="0.25">
      <c r="A28" s="328" t="s">
        <v>120</v>
      </c>
      <c r="B28" s="314">
        <v>5848.4220000000005</v>
      </c>
      <c r="C28" s="306">
        <v>3248.7330000000002</v>
      </c>
      <c r="D28" s="306">
        <v>300.37700000000001</v>
      </c>
      <c r="E28" s="306">
        <v>334.43099999999998</v>
      </c>
      <c r="F28" s="306">
        <v>1053.3009999999999</v>
      </c>
      <c r="G28" s="306">
        <v>227.24600000000001</v>
      </c>
      <c r="H28" s="308">
        <v>684.33400000000006</v>
      </c>
    </row>
    <row r="29" spans="1:8" ht="15.75" thickBot="1" x14ac:dyDescent="0.3">
      <c r="A29" s="352"/>
      <c r="B29" s="315">
        <v>100</v>
      </c>
      <c r="C29" s="310">
        <v>55.548881390569974</v>
      </c>
      <c r="D29" s="310">
        <v>5.1360349851635192</v>
      </c>
      <c r="E29" s="310">
        <v>5.7183117086968078</v>
      </c>
      <c r="F29" s="310">
        <v>18.010003382108884</v>
      </c>
      <c r="G29" s="310">
        <v>3.885595122923756</v>
      </c>
      <c r="H29" s="311">
        <v>11.701173410537065</v>
      </c>
    </row>
    <row r="30" spans="1:8" x14ac:dyDescent="0.25">
      <c r="A30" s="350" t="s">
        <v>122</v>
      </c>
      <c r="B30" s="350"/>
      <c r="C30" s="350"/>
      <c r="D30" s="350"/>
      <c r="E30" s="350"/>
      <c r="F30" s="350"/>
      <c r="G30" s="350"/>
      <c r="H30" s="350"/>
    </row>
    <row r="31" spans="1:8" x14ac:dyDescent="0.25">
      <c r="A31" s="351"/>
      <c r="B31" s="351"/>
      <c r="C31" s="351"/>
      <c r="D31" s="351"/>
      <c r="E31" s="351"/>
      <c r="F31" s="351"/>
      <c r="G31" s="351"/>
      <c r="H31" s="351"/>
    </row>
    <row r="32" spans="1:8" x14ac:dyDescent="0.25">
      <c r="A32" s="9" t="s">
        <v>109</v>
      </c>
    </row>
    <row r="33" spans="1:24" x14ac:dyDescent="0.25">
      <c r="A33" s="281"/>
    </row>
    <row r="35" spans="1:24" x14ac:dyDescent="0.25">
      <c r="B35" s="1"/>
      <c r="C35" s="1"/>
      <c r="D35" s="1"/>
      <c r="E35" s="1"/>
      <c r="F35" s="1"/>
      <c r="G35" s="1"/>
      <c r="H35" s="1"/>
      <c r="N35" s="1"/>
      <c r="O35" s="1"/>
      <c r="Q35" s="1"/>
    </row>
    <row r="36" spans="1:24" x14ac:dyDescent="0.25">
      <c r="B36" s="1"/>
      <c r="C36" s="1"/>
    </row>
    <row r="37" spans="1:24" x14ac:dyDescent="0.25">
      <c r="B37" s="1"/>
      <c r="C37" s="1"/>
    </row>
    <row r="38" spans="1:24" x14ac:dyDescent="0.25">
      <c r="B38" s="1"/>
      <c r="C38" s="1"/>
      <c r="O38" s="38"/>
      <c r="P38" s="38"/>
      <c r="Q38" s="38"/>
      <c r="R38" s="38"/>
      <c r="S38" s="38"/>
      <c r="T38" s="38"/>
      <c r="U38" s="38"/>
      <c r="V38" s="38"/>
    </row>
    <row r="39" spans="1:24" x14ac:dyDescent="0.25">
      <c r="B39" s="1"/>
      <c r="C39" s="1"/>
      <c r="E39" s="1"/>
      <c r="F39" s="1"/>
      <c r="G39" s="1"/>
      <c r="H39" s="1"/>
      <c r="I39" s="1"/>
      <c r="J39" s="1"/>
      <c r="K39" s="1"/>
      <c r="L39" s="1"/>
    </row>
    <row r="40" spans="1:24" x14ac:dyDescent="0.25">
      <c r="B40" s="1"/>
      <c r="C40" s="1"/>
      <c r="E40" s="1"/>
      <c r="F40" s="1"/>
      <c r="G40" s="1"/>
      <c r="H40" s="1"/>
      <c r="I40" s="1"/>
      <c r="J40" s="1"/>
      <c r="K40" s="1"/>
      <c r="O40" s="39"/>
      <c r="P40" s="39"/>
      <c r="Q40" s="39"/>
      <c r="R40" s="39"/>
      <c r="S40" s="39"/>
      <c r="T40" s="39"/>
      <c r="U40" s="39"/>
      <c r="V40" s="39"/>
      <c r="X40" s="1"/>
    </row>
    <row r="41" spans="1:24" x14ac:dyDescent="0.25">
      <c r="B41" s="1"/>
      <c r="C41" s="1"/>
      <c r="E41" s="1"/>
      <c r="F41" s="1"/>
      <c r="G41" s="1"/>
      <c r="H41" s="1"/>
      <c r="I41" s="1"/>
      <c r="J41" s="1"/>
      <c r="K41" s="1"/>
      <c r="L41" s="1"/>
      <c r="O41" s="39"/>
      <c r="P41" s="39"/>
      <c r="Q41" s="39"/>
      <c r="R41" s="39"/>
      <c r="S41" s="39"/>
      <c r="T41" s="39"/>
      <c r="U41" s="39"/>
      <c r="V41" s="39"/>
    </row>
    <row r="42" spans="1:24" x14ac:dyDescent="0.25">
      <c r="B42" s="1"/>
      <c r="C42" s="1"/>
      <c r="E42" s="1"/>
      <c r="F42" s="1"/>
      <c r="G42" s="1"/>
      <c r="H42" s="1"/>
      <c r="I42" s="1"/>
      <c r="J42" s="1"/>
      <c r="K42" s="1"/>
      <c r="L42" s="1"/>
      <c r="O42" s="39"/>
      <c r="P42" s="39"/>
      <c r="Q42" s="39"/>
      <c r="R42" s="39"/>
      <c r="S42" s="39"/>
      <c r="T42" s="39"/>
      <c r="U42" s="39"/>
      <c r="V42" s="39"/>
    </row>
    <row r="43" spans="1:24" x14ac:dyDescent="0.25">
      <c r="B43" s="1"/>
      <c r="C43" s="1"/>
      <c r="E43" s="1"/>
      <c r="F43" s="1"/>
      <c r="G43" s="1"/>
      <c r="H43" s="1"/>
      <c r="I43" s="1"/>
      <c r="J43" s="1"/>
      <c r="K43" s="1"/>
      <c r="L43" s="1"/>
      <c r="O43" s="39"/>
      <c r="P43" s="39"/>
      <c r="Q43" s="39"/>
      <c r="R43" s="39"/>
      <c r="S43" s="39"/>
      <c r="T43" s="39"/>
      <c r="U43" s="39"/>
      <c r="V43" s="39"/>
    </row>
    <row r="44" spans="1:24" x14ac:dyDescent="0.25">
      <c r="B44" s="1"/>
      <c r="C44" s="1"/>
      <c r="E44" s="1"/>
      <c r="F44" s="1"/>
      <c r="G44" s="1"/>
      <c r="H44" s="1"/>
      <c r="I44" s="1"/>
      <c r="J44" s="1"/>
      <c r="K44" s="1"/>
      <c r="L44" s="1"/>
      <c r="O44" s="39"/>
      <c r="P44" s="39"/>
      <c r="Q44" s="39"/>
      <c r="R44" s="39"/>
      <c r="S44" s="39"/>
      <c r="T44" s="39"/>
      <c r="U44" s="39"/>
      <c r="V44" s="39"/>
    </row>
    <row r="45" spans="1:24" x14ac:dyDescent="0.25">
      <c r="E45" s="1"/>
      <c r="F45" s="1"/>
      <c r="G45" s="1"/>
      <c r="H45" s="1"/>
      <c r="I45" s="1"/>
      <c r="J45" s="1"/>
      <c r="K45" s="1"/>
      <c r="L45" s="1"/>
      <c r="O45" s="39"/>
      <c r="P45" s="39"/>
      <c r="Q45" s="39"/>
      <c r="R45" s="39"/>
      <c r="S45" s="39"/>
      <c r="T45" s="39"/>
      <c r="U45" s="39"/>
      <c r="V45" s="39"/>
    </row>
    <row r="46" spans="1:24" x14ac:dyDescent="0.25">
      <c r="C46" s="1"/>
      <c r="E46" s="1"/>
      <c r="F46" s="1"/>
      <c r="G46" s="1"/>
      <c r="H46" s="1"/>
      <c r="I46" s="1"/>
      <c r="J46" s="1"/>
      <c r="K46" s="1"/>
      <c r="L46" s="1"/>
      <c r="O46" s="39"/>
      <c r="P46" s="39"/>
      <c r="Q46" s="39"/>
      <c r="R46" s="39"/>
      <c r="S46" s="39"/>
      <c r="T46" s="39"/>
      <c r="U46" s="39"/>
      <c r="V46" s="39"/>
    </row>
    <row r="47" spans="1:24" x14ac:dyDescent="0.25">
      <c r="B47" s="1"/>
      <c r="C47" s="1"/>
      <c r="E47" s="1"/>
      <c r="F47" s="1"/>
      <c r="G47" s="1"/>
      <c r="H47" s="1"/>
      <c r="I47" s="1"/>
      <c r="J47" s="1"/>
      <c r="K47" s="1"/>
      <c r="L47" s="1"/>
      <c r="O47" s="39"/>
      <c r="P47" s="39"/>
      <c r="Q47" s="39"/>
      <c r="R47" s="39"/>
      <c r="S47" s="39"/>
      <c r="T47" s="39"/>
      <c r="U47" s="39"/>
      <c r="V47" s="39"/>
    </row>
    <row r="48" spans="1:24" x14ac:dyDescent="0.25">
      <c r="B48" s="1"/>
      <c r="C48" s="1"/>
      <c r="E48" s="1"/>
      <c r="F48" s="1"/>
      <c r="G48" s="1"/>
      <c r="H48" s="1"/>
      <c r="I48" s="1"/>
      <c r="J48" s="1"/>
      <c r="K48" s="1"/>
      <c r="L48" s="1"/>
      <c r="O48" s="39"/>
      <c r="P48" s="39"/>
      <c r="Q48" s="39"/>
      <c r="R48" s="39"/>
      <c r="S48" s="39"/>
      <c r="T48" s="39"/>
      <c r="U48" s="39"/>
      <c r="V48" s="39"/>
    </row>
    <row r="49" spans="5:22" x14ac:dyDescent="0.25">
      <c r="O49" s="39"/>
      <c r="P49" s="39"/>
      <c r="Q49" s="39"/>
      <c r="R49" s="39"/>
      <c r="S49" s="39"/>
      <c r="T49" s="39"/>
      <c r="U49" s="39"/>
      <c r="V49" s="39"/>
    </row>
    <row r="50" spans="5:22" x14ac:dyDescent="0.25">
      <c r="F50" s="1"/>
      <c r="G50" s="1"/>
      <c r="H50" s="1"/>
      <c r="I50" s="1"/>
      <c r="J50" s="1"/>
      <c r="K50" s="1"/>
    </row>
    <row r="51" spans="5:22" x14ac:dyDescent="0.25">
      <c r="E51" s="1"/>
      <c r="F51" s="1"/>
      <c r="G51" s="1"/>
      <c r="H51" s="1"/>
      <c r="I51" s="1"/>
      <c r="J51" s="1"/>
      <c r="K51" s="1"/>
      <c r="L51" s="1"/>
      <c r="O51" s="2"/>
      <c r="P51" s="2"/>
      <c r="Q51" s="2"/>
      <c r="R51" s="2"/>
      <c r="S51" s="2"/>
      <c r="T51" s="2"/>
    </row>
    <row r="52" spans="5:22" x14ac:dyDescent="0.25">
      <c r="E52" s="1"/>
      <c r="F52" s="1"/>
      <c r="G52" s="1"/>
      <c r="H52" s="1"/>
      <c r="I52" s="1"/>
      <c r="J52" s="1"/>
      <c r="K52" s="1"/>
      <c r="L52" s="1"/>
      <c r="O52" s="39"/>
      <c r="P52" s="39"/>
      <c r="Q52" s="39"/>
      <c r="R52" s="39"/>
      <c r="S52" s="39"/>
      <c r="T52" s="39"/>
    </row>
    <row r="53" spans="5:22" x14ac:dyDescent="0.25">
      <c r="O53" s="39"/>
      <c r="P53" s="39"/>
      <c r="Q53" s="39"/>
      <c r="R53" s="39"/>
      <c r="S53" s="39"/>
      <c r="T53" s="39"/>
    </row>
    <row r="54" spans="5:22" x14ac:dyDescent="0.25">
      <c r="O54" s="39"/>
      <c r="P54" s="39"/>
      <c r="Q54" s="39"/>
      <c r="R54" s="39"/>
      <c r="S54" s="39"/>
      <c r="T54" s="39"/>
    </row>
    <row r="55" spans="5:22" x14ac:dyDescent="0.25">
      <c r="H55" s="1"/>
      <c r="O55" s="39"/>
      <c r="P55" s="39"/>
      <c r="Q55" s="39"/>
      <c r="R55" s="39"/>
      <c r="S55" s="39"/>
      <c r="T55" s="39"/>
    </row>
    <row r="56" spans="5:22" x14ac:dyDescent="0.25">
      <c r="O56" s="39"/>
      <c r="P56" s="39"/>
      <c r="Q56" s="39"/>
      <c r="R56" s="39"/>
      <c r="S56" s="39"/>
      <c r="T56" s="39"/>
    </row>
    <row r="57" spans="5:22" x14ac:dyDescent="0.25">
      <c r="O57" s="39"/>
      <c r="P57" s="39"/>
      <c r="Q57" s="39"/>
      <c r="R57" s="39"/>
      <c r="S57" s="39"/>
      <c r="T57" s="39"/>
    </row>
    <row r="58" spans="5:22" x14ac:dyDescent="0.25">
      <c r="O58" s="39"/>
      <c r="P58" s="39"/>
      <c r="Q58" s="39"/>
      <c r="R58" s="39"/>
      <c r="S58" s="39"/>
      <c r="T58" s="39"/>
    </row>
    <row r="59" spans="5:22" x14ac:dyDescent="0.25">
      <c r="O59" s="39"/>
      <c r="P59" s="39"/>
      <c r="Q59" s="39"/>
      <c r="R59" s="39"/>
      <c r="S59" s="39"/>
      <c r="T59" s="39"/>
    </row>
    <row r="60" spans="5:22" x14ac:dyDescent="0.25">
      <c r="O60" s="39"/>
      <c r="P60" s="39"/>
      <c r="Q60" s="39"/>
      <c r="R60" s="39"/>
      <c r="S60" s="39"/>
      <c r="T60" s="39"/>
    </row>
    <row r="61" spans="5:22" x14ac:dyDescent="0.25">
      <c r="O61" s="39"/>
      <c r="P61" s="39"/>
      <c r="Q61" s="39"/>
      <c r="R61" s="39"/>
      <c r="S61" s="39"/>
      <c r="T61" s="39"/>
    </row>
  </sheetData>
  <mergeCells count="20">
    <mergeCell ref="A30:H31"/>
    <mergeCell ref="A22:A23"/>
    <mergeCell ref="A24:A25"/>
    <mergeCell ref="A26:A27"/>
    <mergeCell ref="A28:A29"/>
    <mergeCell ref="A20:A21"/>
    <mergeCell ref="A3:H3"/>
    <mergeCell ref="A10:A11"/>
    <mergeCell ref="A14:A15"/>
    <mergeCell ref="A16:A17"/>
    <mergeCell ref="A18:A19"/>
    <mergeCell ref="C5:H5"/>
    <mergeCell ref="A5:A7"/>
    <mergeCell ref="B5:B7"/>
    <mergeCell ref="A8:A9"/>
    <mergeCell ref="A12:A13"/>
    <mergeCell ref="C6:D6"/>
    <mergeCell ref="E6:F6"/>
    <mergeCell ref="G6:G7"/>
    <mergeCell ref="H6: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N16" sqref="N16"/>
    </sheetView>
  </sheetViews>
  <sheetFormatPr defaultRowHeight="15" x14ac:dyDescent="0.25"/>
  <cols>
    <col min="1" max="7" width="18.7109375" style="9" customWidth="1"/>
    <col min="8" max="16384" width="9.140625" style="9"/>
  </cols>
  <sheetData>
    <row r="1" spans="1:8" x14ac:dyDescent="0.25">
      <c r="A1" s="10" t="s">
        <v>143</v>
      </c>
    </row>
    <row r="2" spans="1:8" s="58" customFormat="1" x14ac:dyDescent="0.25">
      <c r="A2" s="59"/>
    </row>
    <row r="3" spans="1:8" x14ac:dyDescent="0.25">
      <c r="A3" s="329" t="s">
        <v>702</v>
      </c>
      <c r="B3" s="329"/>
      <c r="C3" s="329"/>
      <c r="D3" s="329"/>
      <c r="E3" s="329"/>
      <c r="F3" s="329"/>
      <c r="G3" s="329"/>
      <c r="H3" s="329"/>
    </row>
    <row r="4" spans="1:8" ht="15.75" thickBot="1" x14ac:dyDescent="0.3">
      <c r="A4" s="279" t="s">
        <v>700</v>
      </c>
      <c r="B4" s="58"/>
      <c r="C4" s="58"/>
      <c r="D4" s="58"/>
      <c r="E4" s="58"/>
      <c r="F4" s="58"/>
      <c r="G4" s="58"/>
      <c r="H4" s="58"/>
    </row>
    <row r="5" spans="1:8" x14ac:dyDescent="0.25">
      <c r="A5" s="355" t="s">
        <v>704</v>
      </c>
      <c r="B5" s="357" t="s">
        <v>93</v>
      </c>
      <c r="C5" s="358"/>
      <c r="D5" s="358"/>
      <c r="E5" s="358"/>
      <c r="F5" s="358"/>
      <c r="G5" s="359"/>
    </row>
    <row r="6" spans="1:8" x14ac:dyDescent="0.25">
      <c r="A6" s="356"/>
      <c r="B6" s="276" t="s">
        <v>94</v>
      </c>
      <c r="C6" s="276" t="s">
        <v>95</v>
      </c>
      <c r="D6" s="276" t="s">
        <v>96</v>
      </c>
      <c r="E6" s="276" t="s">
        <v>97</v>
      </c>
      <c r="F6" s="276" t="s">
        <v>98</v>
      </c>
      <c r="G6" s="277" t="s">
        <v>99</v>
      </c>
    </row>
    <row r="7" spans="1:8" x14ac:dyDescent="0.25">
      <c r="A7" s="360" t="s">
        <v>187</v>
      </c>
      <c r="B7" s="34">
        <v>6755671</v>
      </c>
      <c r="C7" s="34">
        <v>8937936</v>
      </c>
      <c r="D7" s="34">
        <v>4853813</v>
      </c>
      <c r="E7" s="34">
        <v>11434450</v>
      </c>
      <c r="F7" s="34">
        <v>17383805</v>
      </c>
      <c r="G7" s="32">
        <v>8167251</v>
      </c>
    </row>
    <row r="8" spans="1:8" ht="15.75" thickBot="1" x14ac:dyDescent="0.3">
      <c r="A8" s="361"/>
      <c r="B8" s="280">
        <v>6.4823008974806529</v>
      </c>
      <c r="C8" s="280">
        <v>8.5762599384168698</v>
      </c>
      <c r="D8" s="280">
        <v>4.6574021094430522</v>
      </c>
      <c r="E8" s="280">
        <v>10.971751806326514</v>
      </c>
      <c r="F8" s="280">
        <v>16.680364504596014</v>
      </c>
      <c r="G8" s="282">
        <v>7.8367609208988647</v>
      </c>
    </row>
    <row r="9" spans="1:8" x14ac:dyDescent="0.25">
      <c r="A9" s="353" t="s">
        <v>100</v>
      </c>
      <c r="B9" s="31">
        <v>652491</v>
      </c>
      <c r="C9" s="31">
        <v>649366</v>
      </c>
      <c r="D9" s="31">
        <v>617282</v>
      </c>
      <c r="E9" s="31">
        <v>1153164</v>
      </c>
      <c r="F9" s="31">
        <v>1912587</v>
      </c>
      <c r="G9" s="32">
        <v>1251028</v>
      </c>
    </row>
    <row r="10" spans="1:8" x14ac:dyDescent="0.25">
      <c r="A10" s="354"/>
      <c r="B10" s="283">
        <v>2.9</v>
      </c>
      <c r="C10" s="283">
        <v>2.89</v>
      </c>
      <c r="D10" s="283">
        <v>2.74</v>
      </c>
      <c r="E10" s="283">
        <v>5.12</v>
      </c>
      <c r="F10" s="283">
        <v>8.5</v>
      </c>
      <c r="G10" s="284">
        <v>5.56</v>
      </c>
    </row>
    <row r="11" spans="1:8" x14ac:dyDescent="0.25">
      <c r="A11" s="353" t="s">
        <v>101</v>
      </c>
      <c r="B11" s="31">
        <v>742461</v>
      </c>
      <c r="C11" s="31">
        <v>774020</v>
      </c>
      <c r="D11" s="31">
        <v>621602</v>
      </c>
      <c r="E11" s="31">
        <v>1261458</v>
      </c>
      <c r="F11" s="31">
        <v>2280375</v>
      </c>
      <c r="G11" s="32">
        <v>1197846</v>
      </c>
    </row>
    <row r="12" spans="1:8" x14ac:dyDescent="0.25">
      <c r="A12" s="354"/>
      <c r="B12" s="283">
        <v>3.6</v>
      </c>
      <c r="C12" s="283">
        <v>3.75</v>
      </c>
      <c r="D12" s="283">
        <v>3.01</v>
      </c>
      <c r="E12" s="283">
        <v>6.11</v>
      </c>
      <c r="F12" s="283">
        <v>11.05</v>
      </c>
      <c r="G12" s="284">
        <v>5.8</v>
      </c>
    </row>
    <row r="13" spans="1:8" x14ac:dyDescent="0.25">
      <c r="A13" s="353" t="s">
        <v>102</v>
      </c>
      <c r="B13" s="31">
        <v>754390</v>
      </c>
      <c r="C13" s="31">
        <v>1002064</v>
      </c>
      <c r="D13" s="31">
        <v>607688</v>
      </c>
      <c r="E13" s="31">
        <v>1268546</v>
      </c>
      <c r="F13" s="31">
        <v>2426687</v>
      </c>
      <c r="G13" s="32">
        <v>1049362</v>
      </c>
    </row>
    <row r="14" spans="1:8" x14ac:dyDescent="0.25">
      <c r="A14" s="354"/>
      <c r="B14" s="283">
        <v>4.2</v>
      </c>
      <c r="C14" s="283">
        <v>5.58</v>
      </c>
      <c r="D14" s="283">
        <v>3.38</v>
      </c>
      <c r="E14" s="283">
        <v>7.07</v>
      </c>
      <c r="F14" s="283">
        <v>13.52</v>
      </c>
      <c r="G14" s="284">
        <v>5.84</v>
      </c>
    </row>
    <row r="15" spans="1:8" x14ac:dyDescent="0.25">
      <c r="A15" s="353" t="s">
        <v>103</v>
      </c>
      <c r="B15" s="31">
        <v>641812</v>
      </c>
      <c r="C15" s="31">
        <v>1070949</v>
      </c>
      <c r="D15" s="31">
        <v>515852</v>
      </c>
      <c r="E15" s="31">
        <v>1063925</v>
      </c>
      <c r="F15" s="31">
        <v>2072535</v>
      </c>
      <c r="G15" s="32">
        <v>745017</v>
      </c>
    </row>
    <row r="16" spans="1:8" x14ac:dyDescent="0.25">
      <c r="A16" s="354"/>
      <c r="B16" s="283">
        <v>4.62</v>
      </c>
      <c r="C16" s="283">
        <v>7.71</v>
      </c>
      <c r="D16" s="283">
        <v>3.72</v>
      </c>
      <c r="E16" s="283">
        <v>7.66</v>
      </c>
      <c r="F16" s="283">
        <v>14.93</v>
      </c>
      <c r="G16" s="284">
        <v>5.37</v>
      </c>
    </row>
    <row r="17" spans="1:7" x14ac:dyDescent="0.25">
      <c r="A17" s="353" t="s">
        <v>104</v>
      </c>
      <c r="B17" s="31">
        <v>628381</v>
      </c>
      <c r="C17" s="31">
        <v>1084407</v>
      </c>
      <c r="D17" s="31">
        <v>473285</v>
      </c>
      <c r="E17" s="31">
        <v>1054147</v>
      </c>
      <c r="F17" s="31">
        <v>1838445</v>
      </c>
      <c r="G17" s="32">
        <v>675384</v>
      </c>
    </row>
    <row r="18" spans="1:7" x14ac:dyDescent="0.25">
      <c r="A18" s="354"/>
      <c r="B18" s="283">
        <v>6.21</v>
      </c>
      <c r="C18" s="283">
        <v>10.71</v>
      </c>
      <c r="D18" s="283">
        <v>4.68</v>
      </c>
      <c r="E18" s="283">
        <v>10.41</v>
      </c>
      <c r="F18" s="283">
        <v>18.16</v>
      </c>
      <c r="G18" s="284">
        <v>6.67</v>
      </c>
    </row>
    <row r="19" spans="1:7" x14ac:dyDescent="0.25">
      <c r="A19" s="353" t="s">
        <v>105</v>
      </c>
      <c r="B19" s="31">
        <v>710960</v>
      </c>
      <c r="C19" s="31">
        <v>1130455</v>
      </c>
      <c r="D19" s="31">
        <v>484843</v>
      </c>
      <c r="E19" s="31">
        <v>1224575</v>
      </c>
      <c r="F19" s="31">
        <v>1863902</v>
      </c>
      <c r="G19" s="32">
        <v>758966</v>
      </c>
    </row>
    <row r="20" spans="1:7" x14ac:dyDescent="0.25">
      <c r="A20" s="354"/>
      <c r="B20" s="283">
        <v>9.5</v>
      </c>
      <c r="C20" s="283">
        <v>15.11</v>
      </c>
      <c r="D20" s="283">
        <v>6.48</v>
      </c>
      <c r="E20" s="283">
        <v>16.37</v>
      </c>
      <c r="F20" s="283">
        <v>24.91</v>
      </c>
      <c r="G20" s="284">
        <v>10.14</v>
      </c>
    </row>
    <row r="21" spans="1:7" x14ac:dyDescent="0.25">
      <c r="A21" s="353" t="s">
        <v>106</v>
      </c>
      <c r="B21" s="31">
        <v>863665</v>
      </c>
      <c r="C21" s="31">
        <v>1230184</v>
      </c>
      <c r="D21" s="31">
        <v>536111</v>
      </c>
      <c r="E21" s="31">
        <v>1523014</v>
      </c>
      <c r="F21" s="31">
        <v>1941807</v>
      </c>
      <c r="G21" s="32">
        <v>877026</v>
      </c>
    </row>
    <row r="22" spans="1:7" x14ac:dyDescent="0.25">
      <c r="A22" s="354"/>
      <c r="B22" s="283">
        <v>14.92</v>
      </c>
      <c r="C22" s="283">
        <v>21.25</v>
      </c>
      <c r="D22" s="283">
        <v>9.26</v>
      </c>
      <c r="E22" s="283">
        <v>26.3</v>
      </c>
      <c r="F22" s="283">
        <v>33.54</v>
      </c>
      <c r="G22" s="284">
        <v>15.15</v>
      </c>
    </row>
    <row r="23" spans="1:7" x14ac:dyDescent="0.25">
      <c r="A23" s="353" t="s">
        <v>107</v>
      </c>
      <c r="B23" s="31">
        <v>1761511</v>
      </c>
      <c r="C23" s="31">
        <v>1996491</v>
      </c>
      <c r="D23" s="31">
        <v>997150</v>
      </c>
      <c r="E23" s="31">
        <v>2885621</v>
      </c>
      <c r="F23" s="31">
        <v>3047467</v>
      </c>
      <c r="G23" s="32">
        <v>1612622</v>
      </c>
    </row>
    <row r="24" spans="1:7" ht="15.75" thickBot="1" x14ac:dyDescent="0.3">
      <c r="A24" s="354"/>
      <c r="B24" s="283">
        <v>30.12</v>
      </c>
      <c r="C24" s="283">
        <v>34.14</v>
      </c>
      <c r="D24" s="283">
        <v>17.05</v>
      </c>
      <c r="E24" s="283">
        <v>49.34</v>
      </c>
      <c r="F24" s="283">
        <v>52.11</v>
      </c>
      <c r="G24" s="284">
        <v>27.57</v>
      </c>
    </row>
    <row r="25" spans="1:7" ht="15" customHeight="1" x14ac:dyDescent="0.25">
      <c r="A25" s="362" t="s">
        <v>108</v>
      </c>
      <c r="B25" s="362"/>
      <c r="C25" s="362"/>
      <c r="D25" s="362"/>
      <c r="E25" s="362"/>
      <c r="F25" s="362"/>
      <c r="G25" s="362"/>
    </row>
    <row r="26" spans="1:7" x14ac:dyDescent="0.25">
      <c r="A26" s="350"/>
      <c r="B26" s="350"/>
      <c r="C26" s="350"/>
      <c r="D26" s="350"/>
      <c r="E26" s="350"/>
      <c r="F26" s="350"/>
      <c r="G26" s="350"/>
    </row>
    <row r="27" spans="1:7" x14ac:dyDescent="0.25">
      <c r="A27" s="350"/>
      <c r="B27" s="350"/>
      <c r="C27" s="350"/>
      <c r="D27" s="350"/>
      <c r="E27" s="350"/>
      <c r="F27" s="350"/>
      <c r="G27" s="350"/>
    </row>
    <row r="28" spans="1:7" x14ac:dyDescent="0.25">
      <c r="A28" s="350"/>
      <c r="B28" s="350"/>
      <c r="C28" s="350"/>
      <c r="D28" s="350"/>
      <c r="E28" s="350"/>
      <c r="F28" s="350"/>
      <c r="G28" s="350"/>
    </row>
    <row r="29" spans="1:7" x14ac:dyDescent="0.25">
      <c r="A29" s="350"/>
      <c r="B29" s="350"/>
      <c r="C29" s="350"/>
      <c r="D29" s="350"/>
      <c r="E29" s="350"/>
      <c r="F29" s="350"/>
      <c r="G29" s="350"/>
    </row>
    <row r="30" spans="1:7" x14ac:dyDescent="0.25">
      <c r="A30" s="350"/>
      <c r="B30" s="350"/>
      <c r="C30" s="350"/>
      <c r="D30" s="350"/>
      <c r="E30" s="350"/>
      <c r="F30" s="350"/>
      <c r="G30" s="350"/>
    </row>
    <row r="31" spans="1:7" x14ac:dyDescent="0.25">
      <c r="A31" s="9" t="s">
        <v>109</v>
      </c>
    </row>
  </sheetData>
  <mergeCells count="13">
    <mergeCell ref="A25:G30"/>
    <mergeCell ref="A15:A16"/>
    <mergeCell ref="A17:A18"/>
    <mergeCell ref="A19:A20"/>
    <mergeCell ref="A21:A22"/>
    <mergeCell ref="A23:A24"/>
    <mergeCell ref="A3:H3"/>
    <mergeCell ref="A13:A14"/>
    <mergeCell ref="A5:A6"/>
    <mergeCell ref="B5:G5"/>
    <mergeCell ref="A9:A10"/>
    <mergeCell ref="A11:A12"/>
    <mergeCell ref="A7:A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M10" sqref="M10"/>
    </sheetView>
  </sheetViews>
  <sheetFormatPr defaultRowHeight="15" x14ac:dyDescent="0.25"/>
  <cols>
    <col min="1" max="1" width="16.7109375" style="16" customWidth="1"/>
    <col min="2" max="2" width="13.7109375" style="16" customWidth="1"/>
    <col min="3" max="11" width="11.140625" style="16" bestFit="1" customWidth="1"/>
    <col min="12" max="16384" width="9.140625" style="16"/>
  </cols>
  <sheetData>
    <row r="1" spans="1:11" x14ac:dyDescent="0.25">
      <c r="A1" s="59" t="s">
        <v>712</v>
      </c>
    </row>
    <row r="3" spans="1:11" x14ac:dyDescent="0.25">
      <c r="A3" s="263" t="s">
        <v>696</v>
      </c>
    </row>
    <row r="4" spans="1:11" ht="30" x14ac:dyDescent="0.25">
      <c r="A4" s="285" t="s">
        <v>160</v>
      </c>
      <c r="B4" s="285" t="s">
        <v>704</v>
      </c>
      <c r="C4" s="192">
        <v>2014</v>
      </c>
      <c r="D4" s="191">
        <v>2015</v>
      </c>
      <c r="E4" s="191">
        <v>2020</v>
      </c>
      <c r="F4" s="191">
        <v>2025</v>
      </c>
      <c r="G4" s="191">
        <v>2030</v>
      </c>
      <c r="H4" s="191">
        <v>2035</v>
      </c>
      <c r="I4" s="191">
        <v>2040</v>
      </c>
      <c r="J4" s="191">
        <v>2045</v>
      </c>
      <c r="K4" s="286">
        <v>2050</v>
      </c>
    </row>
    <row r="5" spans="1:11" x14ac:dyDescent="0.25">
      <c r="A5" s="363" t="s">
        <v>147</v>
      </c>
      <c r="B5" s="287" t="s">
        <v>1</v>
      </c>
      <c r="C5" s="264">
        <v>117502.23700000001</v>
      </c>
      <c r="D5" s="264">
        <v>116712.88</v>
      </c>
      <c r="E5" s="264">
        <v>114138.698</v>
      </c>
      <c r="F5" s="264">
        <v>112753.07</v>
      </c>
      <c r="G5" s="264">
        <v>111294.069</v>
      </c>
      <c r="H5" s="264">
        <v>108687.28600000001</v>
      </c>
      <c r="I5" s="264">
        <v>105454.12700000001</v>
      </c>
      <c r="J5" s="264">
        <v>102076.349</v>
      </c>
      <c r="K5" s="265">
        <v>99292.907000000007</v>
      </c>
    </row>
    <row r="6" spans="1:11" x14ac:dyDescent="0.25">
      <c r="A6" s="364"/>
      <c r="B6" s="288" t="s">
        <v>114</v>
      </c>
      <c r="C6" s="266">
        <v>15366.791000000001</v>
      </c>
      <c r="D6" s="266">
        <v>15017.171</v>
      </c>
      <c r="E6" s="266">
        <v>12881.706</v>
      </c>
      <c r="F6" s="266">
        <v>11581.53</v>
      </c>
      <c r="G6" s="266">
        <v>11333.242</v>
      </c>
      <c r="H6" s="266">
        <v>12116.172</v>
      </c>
      <c r="I6" s="266">
        <v>12473.784</v>
      </c>
      <c r="J6" s="266">
        <v>12450.714</v>
      </c>
      <c r="K6" s="267">
        <v>11699.543</v>
      </c>
    </row>
    <row r="7" spans="1:11" x14ac:dyDescent="0.25">
      <c r="A7" s="364"/>
      <c r="B7" s="288" t="s">
        <v>115</v>
      </c>
      <c r="C7" s="266">
        <v>15325.812</v>
      </c>
      <c r="D7" s="266">
        <v>15399.751</v>
      </c>
      <c r="E7" s="266">
        <v>14660.771000000001</v>
      </c>
      <c r="F7" s="266">
        <v>12605.755000000001</v>
      </c>
      <c r="G7" s="266">
        <v>11355.576000000001</v>
      </c>
      <c r="H7" s="266">
        <v>11133.702000000001</v>
      </c>
      <c r="I7" s="266">
        <v>11919.563</v>
      </c>
      <c r="J7" s="266">
        <v>12288.559000000001</v>
      </c>
      <c r="K7" s="267">
        <v>12279.482</v>
      </c>
    </row>
    <row r="8" spans="1:11" x14ac:dyDescent="0.25">
      <c r="A8" s="364"/>
      <c r="B8" s="288" t="s">
        <v>116</v>
      </c>
      <c r="C8" s="266">
        <v>13712.357</v>
      </c>
      <c r="D8" s="266">
        <v>14001.925000000001</v>
      </c>
      <c r="E8" s="266">
        <v>14870.093000000001</v>
      </c>
      <c r="F8" s="266">
        <v>14196.177</v>
      </c>
      <c r="G8" s="266">
        <v>12240.534</v>
      </c>
      <c r="H8" s="266">
        <v>11050.316000000001</v>
      </c>
      <c r="I8" s="266">
        <v>10859.794</v>
      </c>
      <c r="J8" s="266">
        <v>11647.347</v>
      </c>
      <c r="K8" s="267">
        <v>12029.413</v>
      </c>
    </row>
    <row r="9" spans="1:11" x14ac:dyDescent="0.25">
      <c r="A9" s="364"/>
      <c r="B9" s="288" t="s">
        <v>117</v>
      </c>
      <c r="C9" s="266">
        <v>11731.861000000001</v>
      </c>
      <c r="D9" s="266">
        <v>12221.516</v>
      </c>
      <c r="E9" s="266">
        <v>13277.561</v>
      </c>
      <c r="F9" s="266">
        <v>14153.092000000001</v>
      </c>
      <c r="G9" s="266">
        <v>13556.536</v>
      </c>
      <c r="H9" s="266">
        <v>11728.460000000001</v>
      </c>
      <c r="I9" s="266">
        <v>10615.073</v>
      </c>
      <c r="J9" s="266">
        <v>10465.665000000001</v>
      </c>
      <c r="K9" s="267">
        <v>11250.843000000001</v>
      </c>
    </row>
    <row r="10" spans="1:11" x14ac:dyDescent="0.25">
      <c r="A10" s="364"/>
      <c r="B10" s="288" t="s">
        <v>118</v>
      </c>
      <c r="C10" s="266">
        <v>8630.4510000000009</v>
      </c>
      <c r="D10" s="266">
        <v>8920.375</v>
      </c>
      <c r="E10" s="266">
        <v>11247.038</v>
      </c>
      <c r="F10" s="266">
        <v>12278.702000000001</v>
      </c>
      <c r="G10" s="266">
        <v>13145.675000000001</v>
      </c>
      <c r="H10" s="266">
        <v>12639.648000000001</v>
      </c>
      <c r="I10" s="266">
        <v>10981.501</v>
      </c>
      <c r="J10" s="266">
        <v>9970.4040000000005</v>
      </c>
      <c r="K10" s="267">
        <v>9872.92</v>
      </c>
    </row>
    <row r="11" spans="1:11" x14ac:dyDescent="0.25">
      <c r="A11" s="364"/>
      <c r="B11" s="288" t="s">
        <v>119</v>
      </c>
      <c r="C11" s="266">
        <v>6202.3389999999999</v>
      </c>
      <c r="D11" s="266">
        <v>6331.2110000000002</v>
      </c>
      <c r="E11" s="266">
        <v>7797.8339999999998</v>
      </c>
      <c r="F11" s="266">
        <v>9896.8000000000011</v>
      </c>
      <c r="G11" s="266">
        <v>10871.066000000001</v>
      </c>
      <c r="H11" s="266">
        <v>11700.880999999999</v>
      </c>
      <c r="I11" s="266">
        <v>11303.647000000001</v>
      </c>
      <c r="J11" s="266">
        <v>9876.4789999999994</v>
      </c>
      <c r="K11" s="267">
        <v>9002.4840000000004</v>
      </c>
    </row>
    <row r="12" spans="1:11" x14ac:dyDescent="0.25">
      <c r="A12" s="365"/>
      <c r="B12" s="289" t="s">
        <v>47</v>
      </c>
      <c r="C12" s="268">
        <v>9759.7150000000001</v>
      </c>
      <c r="D12" s="268">
        <v>9844.0130000000008</v>
      </c>
      <c r="E12" s="268">
        <v>10439.041000000001</v>
      </c>
      <c r="F12" s="268">
        <v>12092.091</v>
      </c>
      <c r="G12" s="268">
        <v>15020.522000000001</v>
      </c>
      <c r="H12" s="268">
        <v>17829.097000000002</v>
      </c>
      <c r="I12" s="268">
        <v>20279.562000000002</v>
      </c>
      <c r="J12" s="268">
        <v>21445.546000000002</v>
      </c>
      <c r="K12" s="269">
        <v>20906.582999999999</v>
      </c>
    </row>
    <row r="13" spans="1:11" x14ac:dyDescent="0.25">
      <c r="A13" s="363" t="s">
        <v>89</v>
      </c>
      <c r="B13" s="287" t="s">
        <v>1</v>
      </c>
      <c r="C13" s="264">
        <v>28263.446</v>
      </c>
      <c r="D13" s="264">
        <v>28341.125</v>
      </c>
      <c r="E13" s="264">
        <v>29026.735000000001</v>
      </c>
      <c r="F13" s="264">
        <v>29872.341</v>
      </c>
      <c r="G13" s="264">
        <v>30715.887999999999</v>
      </c>
      <c r="H13" s="264">
        <v>31433.475000000002</v>
      </c>
      <c r="I13" s="264">
        <v>31851.189000000002</v>
      </c>
      <c r="J13" s="264">
        <v>32054.614000000001</v>
      </c>
      <c r="K13" s="265">
        <v>32680.821</v>
      </c>
    </row>
    <row r="14" spans="1:11" x14ac:dyDescent="0.25">
      <c r="A14" s="364"/>
      <c r="B14" s="288" t="s">
        <v>114</v>
      </c>
      <c r="C14" s="266">
        <v>2715.7159999999999</v>
      </c>
      <c r="D14" s="266">
        <v>2700.0950000000003</v>
      </c>
      <c r="E14" s="266">
        <v>2515.462</v>
      </c>
      <c r="F14" s="266">
        <v>2461.4960000000001</v>
      </c>
      <c r="G14" s="266">
        <v>2530.44</v>
      </c>
      <c r="H14" s="266">
        <v>2731.04</v>
      </c>
      <c r="I14" s="266">
        <v>3154.259</v>
      </c>
      <c r="J14" s="266">
        <v>3521.0729999999999</v>
      </c>
      <c r="K14" s="267">
        <v>3243.5810000000001</v>
      </c>
    </row>
    <row r="15" spans="1:11" x14ac:dyDescent="0.25">
      <c r="A15" s="364"/>
      <c r="B15" s="288" t="s">
        <v>115</v>
      </c>
      <c r="C15" s="266">
        <v>2492.0810000000001</v>
      </c>
      <c r="D15" s="266">
        <v>2550.011</v>
      </c>
      <c r="E15" s="266">
        <v>2601.41</v>
      </c>
      <c r="F15" s="266">
        <v>2435.116</v>
      </c>
      <c r="G15" s="266">
        <v>2392.6840000000002</v>
      </c>
      <c r="H15" s="266">
        <v>2469.1190000000001</v>
      </c>
      <c r="I15" s="266">
        <v>2672.011</v>
      </c>
      <c r="J15" s="266">
        <v>3092.5860000000002</v>
      </c>
      <c r="K15" s="267">
        <v>3458.1120000000001</v>
      </c>
    </row>
    <row r="16" spans="1:11" x14ac:dyDescent="0.25">
      <c r="A16" s="364"/>
      <c r="B16" s="288" t="s">
        <v>116</v>
      </c>
      <c r="C16" s="266">
        <v>1987.671</v>
      </c>
      <c r="D16" s="266">
        <v>2060.5480000000002</v>
      </c>
      <c r="E16" s="266">
        <v>2413.7860000000001</v>
      </c>
      <c r="F16" s="266">
        <v>2475.652</v>
      </c>
      <c r="G16" s="266">
        <v>2329.9270000000001</v>
      </c>
      <c r="H16" s="266">
        <v>2299.7570000000001</v>
      </c>
      <c r="I16" s="266">
        <v>2383.5140000000001</v>
      </c>
      <c r="J16" s="266">
        <v>2587.6869999999999</v>
      </c>
      <c r="K16" s="267">
        <v>3003.0740000000001</v>
      </c>
    </row>
    <row r="17" spans="1:11" x14ac:dyDescent="0.25">
      <c r="A17" s="364"/>
      <c r="B17" s="288" t="s">
        <v>117</v>
      </c>
      <c r="C17" s="266">
        <v>1445.7160000000001</v>
      </c>
      <c r="D17" s="266">
        <v>1546.722</v>
      </c>
      <c r="E17" s="266">
        <v>1905.0920000000001</v>
      </c>
      <c r="F17" s="266">
        <v>2244.1880000000001</v>
      </c>
      <c r="G17" s="266">
        <v>2314.8429999999998</v>
      </c>
      <c r="H17" s="266">
        <v>2190.9790000000003</v>
      </c>
      <c r="I17" s="266">
        <v>2173.3229999999999</v>
      </c>
      <c r="J17" s="266">
        <v>2264.0639999999999</v>
      </c>
      <c r="K17" s="267">
        <v>2467.1240000000003</v>
      </c>
    </row>
    <row r="18" spans="1:11" x14ac:dyDescent="0.25">
      <c r="A18" s="364"/>
      <c r="B18" s="288" t="s">
        <v>118</v>
      </c>
      <c r="C18" s="266">
        <v>985.45100000000002</v>
      </c>
      <c r="D18" s="266">
        <v>1022.253</v>
      </c>
      <c r="E18" s="266">
        <v>1381.826</v>
      </c>
      <c r="F18" s="266">
        <v>1712.511</v>
      </c>
      <c r="G18" s="266">
        <v>2029.3320000000001</v>
      </c>
      <c r="H18" s="266">
        <v>2105.8020000000001</v>
      </c>
      <c r="I18" s="266">
        <v>2005.6380000000001</v>
      </c>
      <c r="J18" s="266">
        <v>2000.4840000000002</v>
      </c>
      <c r="K18" s="267">
        <v>2096.7069999999999</v>
      </c>
    </row>
    <row r="19" spans="1:11" x14ac:dyDescent="0.25">
      <c r="A19" s="364"/>
      <c r="B19" s="288" t="s">
        <v>119</v>
      </c>
      <c r="C19" s="266">
        <v>687.745</v>
      </c>
      <c r="D19" s="266">
        <v>710.72500000000002</v>
      </c>
      <c r="E19" s="266">
        <v>863.13400000000001</v>
      </c>
      <c r="F19" s="266">
        <v>1176.6500000000001</v>
      </c>
      <c r="G19" s="266">
        <v>1468.2940000000001</v>
      </c>
      <c r="H19" s="266">
        <v>1751.326</v>
      </c>
      <c r="I19" s="266">
        <v>1829.482</v>
      </c>
      <c r="J19" s="266">
        <v>1754.9480000000001</v>
      </c>
      <c r="K19" s="267">
        <v>1761.338</v>
      </c>
    </row>
    <row r="20" spans="1:11" x14ac:dyDescent="0.25">
      <c r="A20" s="365"/>
      <c r="B20" s="289" t="s">
        <v>47</v>
      </c>
      <c r="C20" s="268">
        <v>889.62</v>
      </c>
      <c r="D20" s="268">
        <v>918.79100000000005</v>
      </c>
      <c r="E20" s="268">
        <v>1068.2660000000001</v>
      </c>
      <c r="F20" s="268">
        <v>1282.306</v>
      </c>
      <c r="G20" s="268">
        <v>1670.559</v>
      </c>
      <c r="H20" s="268">
        <v>2159.6379999999999</v>
      </c>
      <c r="I20" s="268">
        <v>2699.4140000000002</v>
      </c>
      <c r="J20" s="268">
        <v>3100.5509999999999</v>
      </c>
      <c r="K20" s="269">
        <v>3277.2080000000001</v>
      </c>
    </row>
    <row r="21" spans="1:11" x14ac:dyDescent="0.25">
      <c r="A21" s="363" t="s">
        <v>73</v>
      </c>
      <c r="B21" s="287" t="s">
        <v>1</v>
      </c>
      <c r="C21" s="264">
        <v>45333.743999999999</v>
      </c>
      <c r="D21" s="264">
        <v>46100.701000000001</v>
      </c>
      <c r="E21" s="264">
        <v>50181.402999999998</v>
      </c>
      <c r="F21" s="264">
        <v>54540.826000000001</v>
      </c>
      <c r="G21" s="264">
        <v>59288.991000000002</v>
      </c>
      <c r="H21" s="264">
        <v>64307.997000000003</v>
      </c>
      <c r="I21" s="264">
        <v>69486.021000000008</v>
      </c>
      <c r="J21" s="264">
        <v>74511.025000000009</v>
      </c>
      <c r="K21" s="265">
        <v>79678.554000000004</v>
      </c>
    </row>
    <row r="22" spans="1:11" x14ac:dyDescent="0.25">
      <c r="A22" s="364"/>
      <c r="B22" s="288" t="s">
        <v>114</v>
      </c>
      <c r="C22" s="266">
        <v>2922.8890000000001</v>
      </c>
      <c r="D22" s="266">
        <v>3018.76</v>
      </c>
      <c r="E22" s="266">
        <v>3434.3250000000003</v>
      </c>
      <c r="F22" s="266">
        <v>3871.7139999999999</v>
      </c>
      <c r="G22" s="266">
        <v>4249.2790000000005</v>
      </c>
      <c r="H22" s="266">
        <v>4641.3850000000002</v>
      </c>
      <c r="I22" s="266">
        <v>5057.2030000000004</v>
      </c>
      <c r="J22" s="266">
        <v>5748.4470000000001</v>
      </c>
      <c r="K22" s="267">
        <v>6083.3310000000001</v>
      </c>
    </row>
    <row r="23" spans="1:11" x14ac:dyDescent="0.25">
      <c r="A23" s="364"/>
      <c r="B23" s="288" t="s">
        <v>115</v>
      </c>
      <c r="C23" s="266">
        <v>2310.2690000000002</v>
      </c>
      <c r="D23" s="266">
        <v>2431.3290000000002</v>
      </c>
      <c r="E23" s="266">
        <v>2967.8679999999999</v>
      </c>
      <c r="F23" s="266">
        <v>3375.3029999999999</v>
      </c>
      <c r="G23" s="266">
        <v>3805.1660000000002</v>
      </c>
      <c r="H23" s="266">
        <v>4176.5</v>
      </c>
      <c r="I23" s="266">
        <v>4565.509</v>
      </c>
      <c r="J23" s="266">
        <v>4982.8980000000001</v>
      </c>
      <c r="K23" s="267">
        <v>5673.25</v>
      </c>
    </row>
    <row r="24" spans="1:11" x14ac:dyDescent="0.25">
      <c r="A24" s="364"/>
      <c r="B24" s="288" t="s">
        <v>116</v>
      </c>
      <c r="C24" s="266">
        <v>1719.4259999999999</v>
      </c>
      <c r="D24" s="266">
        <v>1822.711</v>
      </c>
      <c r="E24" s="266">
        <v>2369.953</v>
      </c>
      <c r="F24" s="266">
        <v>2891.076</v>
      </c>
      <c r="G24" s="266">
        <v>3288.4059999999999</v>
      </c>
      <c r="H24" s="266">
        <v>3706.2939999999999</v>
      </c>
      <c r="I24" s="266">
        <v>4072.2640000000001</v>
      </c>
      <c r="J24" s="266">
        <v>4458.7650000000003</v>
      </c>
      <c r="K24" s="267">
        <v>4876.0630000000001</v>
      </c>
    </row>
    <row r="25" spans="1:11" x14ac:dyDescent="0.25">
      <c r="A25" s="364"/>
      <c r="B25" s="288" t="s">
        <v>117</v>
      </c>
      <c r="C25" s="266">
        <v>1254.9190000000001</v>
      </c>
      <c r="D25" s="266">
        <v>1339.8920000000001</v>
      </c>
      <c r="E25" s="266">
        <v>1748.6010000000001</v>
      </c>
      <c r="F25" s="266">
        <v>2271.4450000000002</v>
      </c>
      <c r="G25" s="266">
        <v>2771.2950000000001</v>
      </c>
      <c r="H25" s="266">
        <v>3152.692</v>
      </c>
      <c r="I25" s="266">
        <v>3556.3519999999999</v>
      </c>
      <c r="J25" s="266">
        <v>3916.9459999999999</v>
      </c>
      <c r="K25" s="267">
        <v>4298.7240000000002</v>
      </c>
    </row>
    <row r="26" spans="1:11" x14ac:dyDescent="0.25">
      <c r="A26" s="364"/>
      <c r="B26" s="288" t="s">
        <v>118</v>
      </c>
      <c r="C26" s="266">
        <v>851.9</v>
      </c>
      <c r="D26" s="266">
        <v>899.55899999999997</v>
      </c>
      <c r="E26" s="266">
        <v>1249.954</v>
      </c>
      <c r="F26" s="266">
        <v>1629.6659999999999</v>
      </c>
      <c r="G26" s="266">
        <v>2116.8519999999999</v>
      </c>
      <c r="H26" s="266">
        <v>2581.8920000000003</v>
      </c>
      <c r="I26" s="266">
        <v>2942.1010000000001</v>
      </c>
      <c r="J26" s="266">
        <v>3327.5770000000002</v>
      </c>
      <c r="K26" s="267">
        <v>3678.0619999999999</v>
      </c>
    </row>
    <row r="27" spans="1:11" x14ac:dyDescent="0.25">
      <c r="A27" s="364"/>
      <c r="B27" s="288" t="s">
        <v>119</v>
      </c>
      <c r="C27" s="266">
        <v>609.56500000000005</v>
      </c>
      <c r="D27" s="266">
        <v>634.89300000000003</v>
      </c>
      <c r="E27" s="266">
        <v>804.98400000000004</v>
      </c>
      <c r="F27" s="266">
        <v>1116.675</v>
      </c>
      <c r="G27" s="266">
        <v>1455.587</v>
      </c>
      <c r="H27" s="266">
        <v>1888.903</v>
      </c>
      <c r="I27" s="266">
        <v>2307.549</v>
      </c>
      <c r="J27" s="266">
        <v>2640.0439999999999</v>
      </c>
      <c r="K27" s="267">
        <v>2997.9490000000001</v>
      </c>
    </row>
    <row r="28" spans="1:11" x14ac:dyDescent="0.25">
      <c r="A28" s="365"/>
      <c r="B28" s="289" t="s">
        <v>47</v>
      </c>
      <c r="C28" s="268">
        <v>786.57400000000007</v>
      </c>
      <c r="D28" s="268">
        <v>827.28399999999999</v>
      </c>
      <c r="E28" s="268">
        <v>1027.069</v>
      </c>
      <c r="F28" s="268">
        <v>1276.7940000000001</v>
      </c>
      <c r="G28" s="268">
        <v>1679.28</v>
      </c>
      <c r="H28" s="268">
        <v>2203.2759999999998</v>
      </c>
      <c r="I28" s="268">
        <v>2888.7330000000002</v>
      </c>
      <c r="J28" s="268">
        <v>3673.7649999999999</v>
      </c>
      <c r="K28" s="269">
        <v>4445.7719999999999</v>
      </c>
    </row>
    <row r="29" spans="1:11" x14ac:dyDescent="0.25">
      <c r="A29" s="363" t="s">
        <v>148</v>
      </c>
      <c r="B29" s="287" t="s">
        <v>1</v>
      </c>
      <c r="C29" s="264">
        <v>19063.170000000002</v>
      </c>
      <c r="D29" s="264">
        <v>19425.712</v>
      </c>
      <c r="E29" s="264">
        <v>21349.277000000002</v>
      </c>
      <c r="F29" s="264">
        <v>23329.738000000001</v>
      </c>
      <c r="G29" s="264">
        <v>25467.526000000002</v>
      </c>
      <c r="H29" s="264">
        <v>27586.572</v>
      </c>
      <c r="I29" s="264">
        <v>29701.815999999999</v>
      </c>
      <c r="J29" s="264">
        <v>31858.137000000002</v>
      </c>
      <c r="K29" s="265">
        <v>34104.092000000004</v>
      </c>
    </row>
    <row r="30" spans="1:11" x14ac:dyDescent="0.25">
      <c r="A30" s="364"/>
      <c r="B30" s="288" t="s">
        <v>114</v>
      </c>
      <c r="C30" s="266">
        <v>1515.8030000000001</v>
      </c>
      <c r="D30" s="266">
        <v>1529.806</v>
      </c>
      <c r="E30" s="266">
        <v>1635.0420000000001</v>
      </c>
      <c r="F30" s="266">
        <v>1853.885</v>
      </c>
      <c r="G30" s="266">
        <v>1970.05</v>
      </c>
      <c r="H30" s="266">
        <v>2242.0790000000002</v>
      </c>
      <c r="I30" s="266">
        <v>2490.9549999999999</v>
      </c>
      <c r="J30" s="266">
        <v>2698.902</v>
      </c>
      <c r="K30" s="267">
        <v>2839.9140000000002</v>
      </c>
    </row>
    <row r="31" spans="1:11" x14ac:dyDescent="0.25">
      <c r="A31" s="364"/>
      <c r="B31" s="288" t="s">
        <v>115</v>
      </c>
      <c r="C31" s="266">
        <v>1355.5820000000001</v>
      </c>
      <c r="D31" s="266">
        <v>1390.0940000000001</v>
      </c>
      <c r="E31" s="266">
        <v>1516.9940000000001</v>
      </c>
      <c r="F31" s="266">
        <v>1622.9390000000001</v>
      </c>
      <c r="G31" s="266">
        <v>1839.7450000000001</v>
      </c>
      <c r="H31" s="266">
        <v>1957.31</v>
      </c>
      <c r="I31" s="266">
        <v>2227.297</v>
      </c>
      <c r="J31" s="266">
        <v>2475.14</v>
      </c>
      <c r="K31" s="267">
        <v>2682.9610000000002</v>
      </c>
    </row>
    <row r="32" spans="1:11" x14ac:dyDescent="0.25">
      <c r="A32" s="364"/>
      <c r="B32" s="288" t="s">
        <v>116</v>
      </c>
      <c r="C32" s="266">
        <v>1126.105</v>
      </c>
      <c r="D32" s="266">
        <v>1164.8209999999999</v>
      </c>
      <c r="E32" s="266">
        <v>1363.16</v>
      </c>
      <c r="F32" s="266">
        <v>1488.8600000000001</v>
      </c>
      <c r="G32" s="266">
        <v>1595.165</v>
      </c>
      <c r="H32" s="266">
        <v>1808.0130000000001</v>
      </c>
      <c r="I32" s="266">
        <v>1926.885</v>
      </c>
      <c r="J32" s="266">
        <v>2193.8789999999999</v>
      </c>
      <c r="K32" s="267">
        <v>2439.7379999999998</v>
      </c>
    </row>
    <row r="33" spans="1:11" x14ac:dyDescent="0.25">
      <c r="A33" s="364"/>
      <c r="B33" s="288" t="s">
        <v>117</v>
      </c>
      <c r="C33" s="266">
        <v>864.05000000000007</v>
      </c>
      <c r="D33" s="266">
        <v>928.26099999999997</v>
      </c>
      <c r="E33" s="266">
        <v>1120.828</v>
      </c>
      <c r="F33" s="266">
        <v>1311.261</v>
      </c>
      <c r="G33" s="266">
        <v>1433.9480000000001</v>
      </c>
      <c r="H33" s="266">
        <v>1539.1690000000001</v>
      </c>
      <c r="I33" s="266">
        <v>1745.701</v>
      </c>
      <c r="J33" s="266">
        <v>1865.7270000000001</v>
      </c>
      <c r="K33" s="267">
        <v>2127.6469999999999</v>
      </c>
    </row>
    <row r="34" spans="1:11" x14ac:dyDescent="0.25">
      <c r="A34" s="364"/>
      <c r="B34" s="288" t="s">
        <v>118</v>
      </c>
      <c r="C34" s="266">
        <v>586.94799999999998</v>
      </c>
      <c r="D34" s="266">
        <v>616.399</v>
      </c>
      <c r="E34" s="266">
        <v>865.49099999999999</v>
      </c>
      <c r="F34" s="266">
        <v>1045.461</v>
      </c>
      <c r="G34" s="266">
        <v>1224.521</v>
      </c>
      <c r="H34" s="266">
        <v>1341.934</v>
      </c>
      <c r="I34" s="266">
        <v>1444.981</v>
      </c>
      <c r="J34" s="266">
        <v>1642.43</v>
      </c>
      <c r="K34" s="267">
        <v>1762.296</v>
      </c>
    </row>
    <row r="35" spans="1:11" x14ac:dyDescent="0.25">
      <c r="A35" s="364"/>
      <c r="B35" s="288" t="s">
        <v>119</v>
      </c>
      <c r="C35" s="266">
        <v>403.755</v>
      </c>
      <c r="D35" s="266">
        <v>425.25400000000002</v>
      </c>
      <c r="E35" s="266">
        <v>544.00900000000001</v>
      </c>
      <c r="F35" s="266">
        <v>765.27300000000002</v>
      </c>
      <c r="G35" s="266">
        <v>927.23</v>
      </c>
      <c r="H35" s="266">
        <v>1089.414</v>
      </c>
      <c r="I35" s="266">
        <v>1198.8810000000001</v>
      </c>
      <c r="J35" s="266">
        <v>1297.903</v>
      </c>
      <c r="K35" s="267">
        <v>1480.8240000000001</v>
      </c>
    </row>
    <row r="36" spans="1:11" x14ac:dyDescent="0.25">
      <c r="A36" s="365"/>
      <c r="B36" s="289" t="s">
        <v>47</v>
      </c>
      <c r="C36" s="268">
        <v>488.39499999999998</v>
      </c>
      <c r="D36" s="268">
        <v>508.20100000000002</v>
      </c>
      <c r="E36" s="268">
        <v>628.14200000000005</v>
      </c>
      <c r="F36" s="268">
        <v>798.83</v>
      </c>
      <c r="G36" s="268">
        <v>1088.914</v>
      </c>
      <c r="H36" s="268">
        <v>1411.895</v>
      </c>
      <c r="I36" s="268">
        <v>1747.5540000000001</v>
      </c>
      <c r="J36" s="268">
        <v>2045.5219999999999</v>
      </c>
      <c r="K36" s="269">
        <v>2312.0520000000001</v>
      </c>
    </row>
    <row r="37" spans="1:11" x14ac:dyDescent="0.25">
      <c r="A37" s="363" t="s">
        <v>4</v>
      </c>
      <c r="B37" s="287" t="s">
        <v>1</v>
      </c>
      <c r="C37" s="264">
        <v>210162.59700000001</v>
      </c>
      <c r="D37" s="264">
        <v>210580.41800000001</v>
      </c>
      <c r="E37" s="264">
        <v>214696.11300000001</v>
      </c>
      <c r="F37" s="264">
        <v>220495.97500000001</v>
      </c>
      <c r="G37" s="264">
        <v>226766.47400000002</v>
      </c>
      <c r="H37" s="264">
        <v>232015.33000000002</v>
      </c>
      <c r="I37" s="264">
        <v>236493.15299999999</v>
      </c>
      <c r="J37" s="264">
        <v>240500.125</v>
      </c>
      <c r="K37" s="265">
        <v>245756.37400000001</v>
      </c>
    </row>
    <row r="38" spans="1:11" x14ac:dyDescent="0.25">
      <c r="A38" s="364"/>
      <c r="B38" s="288" t="s">
        <v>114</v>
      </c>
      <c r="C38" s="266">
        <v>22521.199000000001</v>
      </c>
      <c r="D38" s="266">
        <v>22265.832000000002</v>
      </c>
      <c r="E38" s="266">
        <v>20466.535</v>
      </c>
      <c r="F38" s="266">
        <v>19768.625</v>
      </c>
      <c r="G38" s="266">
        <v>20083.010999999999</v>
      </c>
      <c r="H38" s="266">
        <v>21730.675999999999</v>
      </c>
      <c r="I38" s="266">
        <v>23176.201000000001</v>
      </c>
      <c r="J38" s="266">
        <v>24419.136000000002</v>
      </c>
      <c r="K38" s="267">
        <v>23866.368999999999</v>
      </c>
    </row>
    <row r="39" spans="1:11" x14ac:dyDescent="0.25">
      <c r="A39" s="364"/>
      <c r="B39" s="288" t="s">
        <v>115</v>
      </c>
      <c r="C39" s="266">
        <v>21483.743999999999</v>
      </c>
      <c r="D39" s="266">
        <v>21771.185000000001</v>
      </c>
      <c r="E39" s="266">
        <v>21747.043000000001</v>
      </c>
      <c r="F39" s="266">
        <v>20039.113000000001</v>
      </c>
      <c r="G39" s="266">
        <v>19393.171000000002</v>
      </c>
      <c r="H39" s="266">
        <v>19736.631000000001</v>
      </c>
      <c r="I39" s="266">
        <v>21384.38</v>
      </c>
      <c r="J39" s="266">
        <v>22839.183000000001</v>
      </c>
      <c r="K39" s="267">
        <v>24093.805</v>
      </c>
    </row>
    <row r="40" spans="1:11" x14ac:dyDescent="0.25">
      <c r="A40" s="364"/>
      <c r="B40" s="288" t="s">
        <v>116</v>
      </c>
      <c r="C40" s="266">
        <v>18545.559000000001</v>
      </c>
      <c r="D40" s="266">
        <v>19050.005000000001</v>
      </c>
      <c r="E40" s="266">
        <v>21016.992000000002</v>
      </c>
      <c r="F40" s="266">
        <v>21051.764999999999</v>
      </c>
      <c r="G40" s="266">
        <v>19454.031999999999</v>
      </c>
      <c r="H40" s="266">
        <v>18864.38</v>
      </c>
      <c r="I40" s="266">
        <v>19242.457000000002</v>
      </c>
      <c r="J40" s="266">
        <v>20887.678</v>
      </c>
      <c r="K40" s="267">
        <v>22348.288</v>
      </c>
    </row>
    <row r="41" spans="1:11" x14ac:dyDescent="0.25">
      <c r="A41" s="364"/>
      <c r="B41" s="288" t="s">
        <v>117</v>
      </c>
      <c r="C41" s="266">
        <v>15296.546</v>
      </c>
      <c r="D41" s="266">
        <v>16036.391</v>
      </c>
      <c r="E41" s="266">
        <v>18052.082000000002</v>
      </c>
      <c r="F41" s="266">
        <v>19979.986000000001</v>
      </c>
      <c r="G41" s="266">
        <v>20076.621999999999</v>
      </c>
      <c r="H41" s="266">
        <v>18611.3</v>
      </c>
      <c r="I41" s="266">
        <v>18090.449000000001</v>
      </c>
      <c r="J41" s="266">
        <v>18512.402000000002</v>
      </c>
      <c r="K41" s="267">
        <v>20144.338</v>
      </c>
    </row>
    <row r="42" spans="1:11" x14ac:dyDescent="0.25">
      <c r="A42" s="364"/>
      <c r="B42" s="288" t="s">
        <v>118</v>
      </c>
      <c r="C42" s="266">
        <v>11054.75</v>
      </c>
      <c r="D42" s="266">
        <v>11458.585999999999</v>
      </c>
      <c r="E42" s="266">
        <v>14744.309000000001</v>
      </c>
      <c r="F42" s="266">
        <v>16666.34</v>
      </c>
      <c r="G42" s="266">
        <v>18516.38</v>
      </c>
      <c r="H42" s="266">
        <v>18669.276000000002</v>
      </c>
      <c r="I42" s="266">
        <v>17374.221000000001</v>
      </c>
      <c r="J42" s="266">
        <v>16940.895</v>
      </c>
      <c r="K42" s="267">
        <v>17409.985000000001</v>
      </c>
    </row>
    <row r="43" spans="1:11" x14ac:dyDescent="0.25">
      <c r="A43" s="364"/>
      <c r="B43" s="288" t="s">
        <v>119</v>
      </c>
      <c r="C43" s="266">
        <v>7903.4040000000005</v>
      </c>
      <c r="D43" s="266">
        <v>8102.0830000000005</v>
      </c>
      <c r="E43" s="266">
        <v>10009.960999999999</v>
      </c>
      <c r="F43" s="266">
        <v>12955.398000000001</v>
      </c>
      <c r="G43" s="266">
        <v>14722.177</v>
      </c>
      <c r="H43" s="266">
        <v>16430.524000000001</v>
      </c>
      <c r="I43" s="266">
        <v>16639.559000000001</v>
      </c>
      <c r="J43" s="266">
        <v>15569.374</v>
      </c>
      <c r="K43" s="267">
        <v>15242.595000000001</v>
      </c>
    </row>
    <row r="44" spans="1:11" x14ac:dyDescent="0.25">
      <c r="A44" s="365"/>
      <c r="B44" s="289" t="s">
        <v>47</v>
      </c>
      <c r="C44" s="268">
        <v>11924.304</v>
      </c>
      <c r="D44" s="268">
        <v>12098.289000000001</v>
      </c>
      <c r="E44" s="268">
        <v>13162.518</v>
      </c>
      <c r="F44" s="268">
        <v>15450.021000000001</v>
      </c>
      <c r="G44" s="268">
        <v>19459.275000000001</v>
      </c>
      <c r="H44" s="268">
        <v>23603.905999999999</v>
      </c>
      <c r="I44" s="268">
        <v>27615.262999999999</v>
      </c>
      <c r="J44" s="268">
        <v>30265.384000000002</v>
      </c>
      <c r="K44" s="269">
        <v>30941.615000000002</v>
      </c>
    </row>
    <row r="46" spans="1:11" x14ac:dyDescent="0.25">
      <c r="A46" s="16" t="s">
        <v>149</v>
      </c>
    </row>
    <row r="47" spans="1:11" x14ac:dyDescent="0.25">
      <c r="A47" s="16" t="s">
        <v>150</v>
      </c>
    </row>
  </sheetData>
  <mergeCells count="5">
    <mergeCell ref="A5:A12"/>
    <mergeCell ref="A13:A20"/>
    <mergeCell ref="A21:A28"/>
    <mergeCell ref="A29:A36"/>
    <mergeCell ref="A37:A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B18" sqref="B18"/>
    </sheetView>
  </sheetViews>
  <sheetFormatPr defaultRowHeight="15" x14ac:dyDescent="0.25"/>
  <cols>
    <col min="1" max="1" width="13.85546875" style="58" customWidth="1"/>
    <col min="2" max="2" width="31.28515625" style="58" customWidth="1"/>
    <col min="3" max="16384" width="9.140625" style="58"/>
  </cols>
  <sheetData>
    <row r="1" spans="1:15" ht="15.75" x14ac:dyDescent="0.25">
      <c r="A1" s="217" t="s">
        <v>697</v>
      </c>
    </row>
    <row r="2" spans="1:15" ht="15.75" x14ac:dyDescent="0.25">
      <c r="A2" s="217"/>
    </row>
    <row r="3" spans="1:15" ht="15.75" thickBot="1" x14ac:dyDescent="0.3">
      <c r="A3" s="58" t="s">
        <v>198</v>
      </c>
    </row>
    <row r="4" spans="1:15" x14ac:dyDescent="0.25">
      <c r="A4" s="135"/>
      <c r="B4" s="123"/>
      <c r="C4" s="151">
        <v>2000</v>
      </c>
      <c r="D4" s="151">
        <v>2001</v>
      </c>
      <c r="E4" s="151">
        <v>2002</v>
      </c>
      <c r="F4" s="151">
        <v>2003</v>
      </c>
      <c r="G4" s="151">
        <v>2004</v>
      </c>
      <c r="H4" s="151">
        <v>2005</v>
      </c>
      <c r="I4" s="151">
        <v>2006</v>
      </c>
      <c r="J4" s="151">
        <v>2007</v>
      </c>
      <c r="K4" s="151">
        <v>2008</v>
      </c>
      <c r="L4" s="151">
        <v>2009</v>
      </c>
      <c r="M4" s="151">
        <v>2010</v>
      </c>
      <c r="N4" s="151">
        <v>2011</v>
      </c>
      <c r="O4" s="152">
        <v>2012</v>
      </c>
    </row>
    <row r="5" spans="1:15" x14ac:dyDescent="0.25">
      <c r="A5" s="372" t="s">
        <v>140</v>
      </c>
      <c r="B5" s="68" t="s">
        <v>2</v>
      </c>
      <c r="C5" s="17">
        <v>66888.918652729393</v>
      </c>
      <c r="D5" s="17">
        <v>65724.037368718244</v>
      </c>
      <c r="E5" s="17">
        <v>65488.529827682039</v>
      </c>
      <c r="F5" s="17">
        <v>65658.892826086958</v>
      </c>
      <c r="G5" s="17">
        <v>66066.919311805177</v>
      </c>
      <c r="H5" s="17">
        <v>65697.035821812591</v>
      </c>
      <c r="I5" s="17">
        <v>67215.465674603183</v>
      </c>
      <c r="J5" s="17">
        <v>66992.876503554508</v>
      </c>
      <c r="K5" s="17">
        <v>63982.57339656206</v>
      </c>
      <c r="L5" s="17">
        <v>64211.021875014572</v>
      </c>
      <c r="M5" s="17">
        <v>61787.041438896427</v>
      </c>
      <c r="N5" s="17">
        <v>60220.975464459247</v>
      </c>
      <c r="O5" s="130">
        <v>60344</v>
      </c>
    </row>
    <row r="6" spans="1:15" x14ac:dyDescent="0.25">
      <c r="A6" s="372"/>
      <c r="B6" s="68" t="s">
        <v>3</v>
      </c>
      <c r="C6" s="17">
        <v>34017.77767711963</v>
      </c>
      <c r="D6" s="17">
        <v>33322.892015810277</v>
      </c>
      <c r="E6" s="17">
        <v>33058.217798777099</v>
      </c>
      <c r="F6" s="17">
        <v>33390.953478260868</v>
      </c>
      <c r="G6" s="17">
        <v>33734.152832186337</v>
      </c>
      <c r="H6" s="17">
        <v>34120.513343573984</v>
      </c>
      <c r="I6" s="17">
        <v>35383.214216269844</v>
      </c>
      <c r="J6" s="17">
        <v>35962.440499271732</v>
      </c>
      <c r="K6" s="17">
        <v>35951.807991528221</v>
      </c>
      <c r="L6" s="17">
        <v>38159.54011662324</v>
      </c>
      <c r="M6" s="17">
        <v>38515.558021792567</v>
      </c>
      <c r="N6" s="17">
        <v>38698.61125016115</v>
      </c>
      <c r="O6" s="130">
        <v>38759</v>
      </c>
    </row>
    <row r="7" spans="1:15" x14ac:dyDescent="0.25">
      <c r="A7" s="372"/>
      <c r="B7" s="68" t="s">
        <v>145</v>
      </c>
      <c r="C7" s="17">
        <v>23127.395609756099</v>
      </c>
      <c r="D7" s="17">
        <v>22911.432874082439</v>
      </c>
      <c r="E7" s="17">
        <v>22428.487804335742</v>
      </c>
      <c r="F7" s="17">
        <v>22352.972369565217</v>
      </c>
      <c r="G7" s="17">
        <v>22752.777554261513</v>
      </c>
      <c r="H7" s="17">
        <v>23533.091100870453</v>
      </c>
      <c r="I7" s="17">
        <v>24442.194583333334</v>
      </c>
      <c r="J7" s="17">
        <v>22945.890692672008</v>
      </c>
      <c r="K7" s="17">
        <v>23795.119046181429</v>
      </c>
      <c r="L7" s="17">
        <v>25570.969278026634</v>
      </c>
      <c r="M7" s="17">
        <v>24517.079511685071</v>
      </c>
      <c r="N7" s="17">
        <v>25004.973846242756</v>
      </c>
      <c r="O7" s="130">
        <v>24999</v>
      </c>
    </row>
    <row r="8" spans="1:15" x14ac:dyDescent="0.25">
      <c r="A8" s="369"/>
      <c r="B8" s="72" t="s">
        <v>61</v>
      </c>
      <c r="C8" s="22">
        <v>45697</v>
      </c>
      <c r="D8" s="22">
        <v>45115</v>
      </c>
      <c r="E8" s="22">
        <v>44834</v>
      </c>
      <c r="F8" s="22">
        <v>45669</v>
      </c>
      <c r="G8" s="22">
        <v>45260</v>
      </c>
      <c r="H8" s="22">
        <v>47024</v>
      </c>
      <c r="I8" s="22">
        <v>47832</v>
      </c>
      <c r="J8" s="22">
        <v>48335</v>
      </c>
      <c r="K8" s="22">
        <v>46921</v>
      </c>
      <c r="L8" s="22">
        <v>47611</v>
      </c>
      <c r="M8" s="22">
        <v>47293</v>
      </c>
      <c r="N8" s="22">
        <v>46354</v>
      </c>
      <c r="O8" s="127">
        <v>46699</v>
      </c>
    </row>
    <row r="9" spans="1:15" x14ac:dyDescent="0.25">
      <c r="A9" s="153" t="s">
        <v>0</v>
      </c>
      <c r="B9" s="73"/>
      <c r="C9" s="71"/>
      <c r="D9" s="71"/>
      <c r="E9" s="71"/>
      <c r="F9" s="71"/>
      <c r="G9" s="71"/>
      <c r="H9" s="71"/>
      <c r="I9" s="71"/>
      <c r="J9" s="71"/>
      <c r="K9" s="71"/>
      <c r="L9" s="71"/>
      <c r="M9" s="71"/>
      <c r="N9" s="71"/>
      <c r="O9" s="122"/>
    </row>
    <row r="10" spans="1:15" x14ac:dyDescent="0.25">
      <c r="A10" s="373" t="s">
        <v>45</v>
      </c>
      <c r="B10" s="25" t="s">
        <v>2</v>
      </c>
      <c r="C10" s="24">
        <v>76853.991567944249</v>
      </c>
      <c r="D10" s="24">
        <v>75310.980508187466</v>
      </c>
      <c r="E10" s="24">
        <v>76032.752329071707</v>
      </c>
      <c r="F10" s="24">
        <v>76127.880108695652</v>
      </c>
      <c r="G10" s="24">
        <v>75429.346956061403</v>
      </c>
      <c r="H10" s="24">
        <v>75306.36176139272</v>
      </c>
      <c r="I10" s="24">
        <v>77626.915813492073</v>
      </c>
      <c r="J10" s="24">
        <v>77782.605241581536</v>
      </c>
      <c r="K10" s="24">
        <v>74646.335629322406</v>
      </c>
      <c r="L10" s="24">
        <v>75559.249807725471</v>
      </c>
      <c r="M10" s="24">
        <v>73703.910921964998</v>
      </c>
      <c r="N10" s="24">
        <v>72836.759477013766</v>
      </c>
      <c r="O10" s="129">
        <v>72200</v>
      </c>
    </row>
    <row r="11" spans="1:15" x14ac:dyDescent="0.25">
      <c r="A11" s="372"/>
      <c r="B11" s="12" t="s">
        <v>3</v>
      </c>
      <c r="C11" s="17">
        <v>37799.012195121955</v>
      </c>
      <c r="D11" s="17">
        <v>36978.764856013549</v>
      </c>
      <c r="E11" s="17">
        <v>36941.78946081156</v>
      </c>
      <c r="F11" s="17">
        <v>37065.705271739127</v>
      </c>
      <c r="G11" s="17">
        <v>37190.824806776072</v>
      </c>
      <c r="H11" s="17">
        <v>38157.511786994364</v>
      </c>
      <c r="I11" s="17">
        <v>39201.808869047622</v>
      </c>
      <c r="J11" s="17">
        <v>40330.8189754126</v>
      </c>
      <c r="K11" s="17">
        <v>40430.588129287564</v>
      </c>
      <c r="L11" s="17">
        <v>42073.201899905376</v>
      </c>
      <c r="M11" s="17">
        <v>42982.015023663647</v>
      </c>
      <c r="N11" s="17">
        <v>43790.856107655847</v>
      </c>
      <c r="O11" s="130">
        <v>43733</v>
      </c>
    </row>
    <row r="12" spans="1:15" x14ac:dyDescent="0.25">
      <c r="A12" s="372"/>
      <c r="B12" s="12" t="s">
        <v>145</v>
      </c>
      <c r="C12" s="17">
        <v>26327.311986062719</v>
      </c>
      <c r="D12" s="17">
        <v>25388.870107284019</v>
      </c>
      <c r="E12" s="17">
        <v>24998.817520844914</v>
      </c>
      <c r="F12" s="17">
        <v>24797.39979347826</v>
      </c>
      <c r="G12" s="17">
        <v>25036.563292747484</v>
      </c>
      <c r="H12" s="17">
        <v>26495.594326676906</v>
      </c>
      <c r="I12" s="17">
        <v>26956.795535714289</v>
      </c>
      <c r="J12" s="17">
        <v>25229.185095156794</v>
      </c>
      <c r="K12" s="17">
        <v>26053.703887080072</v>
      </c>
      <c r="L12" s="17">
        <v>27824.776145839645</v>
      </c>
      <c r="M12" s="17">
        <v>27074.605220677258</v>
      </c>
      <c r="N12" s="17">
        <v>26909.589782118706</v>
      </c>
      <c r="O12" s="130">
        <v>27311</v>
      </c>
    </row>
    <row r="13" spans="1:15" x14ac:dyDescent="0.25">
      <c r="A13" s="372"/>
      <c r="B13" s="69" t="s">
        <v>189</v>
      </c>
      <c r="C13" s="17">
        <v>52479</v>
      </c>
      <c r="D13" s="17">
        <v>51465</v>
      </c>
      <c r="E13" s="17">
        <v>51518</v>
      </c>
      <c r="F13" s="17">
        <v>52457</v>
      </c>
      <c r="G13" s="17">
        <v>52582</v>
      </c>
      <c r="H13" s="17">
        <v>53998</v>
      </c>
      <c r="I13" s="17">
        <v>55875</v>
      </c>
      <c r="J13" s="17">
        <v>56473</v>
      </c>
      <c r="K13" s="17">
        <v>54514</v>
      </c>
      <c r="L13" s="17">
        <v>55047</v>
      </c>
      <c r="M13" s="17">
        <v>55173</v>
      </c>
      <c r="N13" s="17">
        <v>54760</v>
      </c>
      <c r="O13" s="130">
        <v>54715</v>
      </c>
    </row>
    <row r="14" spans="1:15" x14ac:dyDescent="0.25">
      <c r="A14" s="372" t="s">
        <v>44</v>
      </c>
      <c r="B14" s="12" t="s">
        <v>2</v>
      </c>
      <c r="C14" s="17">
        <v>33439.126132404184</v>
      </c>
      <c r="D14" s="17">
        <v>34489.659943534731</v>
      </c>
      <c r="E14" s="17">
        <v>34458.243468593661</v>
      </c>
      <c r="F14" s="17">
        <v>34064.761956521739</v>
      </c>
      <c r="G14" s="17">
        <v>32865.123133933295</v>
      </c>
      <c r="H14" s="17">
        <v>34321.54034818228</v>
      </c>
      <c r="I14" s="17">
        <v>34165.773809523809</v>
      </c>
      <c r="J14" s="17">
        <v>33716.794986061672</v>
      </c>
      <c r="K14" s="17">
        <v>32016.879727639654</v>
      </c>
      <c r="L14" s="17">
        <v>32105.510937507286</v>
      </c>
      <c r="M14" s="17">
        <v>29986.962615108045</v>
      </c>
      <c r="N14" s="17">
        <v>29089.793232832009</v>
      </c>
      <c r="O14" s="130">
        <v>30210</v>
      </c>
    </row>
    <row r="15" spans="1:15" x14ac:dyDescent="0.25">
      <c r="A15" s="372"/>
      <c r="B15" s="12" t="s">
        <v>3</v>
      </c>
      <c r="C15" s="17">
        <v>18651.512578397214</v>
      </c>
      <c r="D15" s="17">
        <v>18136.759232072276</v>
      </c>
      <c r="E15" s="17">
        <v>18419.845480822678</v>
      </c>
      <c r="F15" s="17">
        <v>18467.343478260867</v>
      </c>
      <c r="G15" s="17">
        <v>19654.656294335626</v>
      </c>
      <c r="H15" s="17">
        <v>18877.728888888887</v>
      </c>
      <c r="I15" s="17">
        <v>20499.464285714286</v>
      </c>
      <c r="J15" s="17">
        <v>19845.393928871141</v>
      </c>
      <c r="K15" s="17">
        <v>19970.027533290293</v>
      </c>
      <c r="L15" s="17">
        <v>19948.224129171194</v>
      </c>
      <c r="M15" s="17">
        <v>20047.463770774481</v>
      </c>
      <c r="N15" s="17">
        <v>20533.31124438181</v>
      </c>
      <c r="O15" s="130">
        <v>20999</v>
      </c>
    </row>
    <row r="16" spans="1:15" x14ac:dyDescent="0.25">
      <c r="A16" s="372"/>
      <c r="B16" s="12" t="s">
        <v>145</v>
      </c>
      <c r="C16" s="17">
        <v>16514.235098722416</v>
      </c>
      <c r="D16" s="17">
        <v>16492.912862789384</v>
      </c>
      <c r="E16" s="17">
        <v>16907.511461923292</v>
      </c>
      <c r="F16" s="17">
        <v>15851.968347826087</v>
      </c>
      <c r="G16" s="17">
        <v>17282.144446797247</v>
      </c>
      <c r="H16" s="17">
        <v>17120.212094214028</v>
      </c>
      <c r="I16" s="17">
        <v>17568.040892857145</v>
      </c>
      <c r="J16" s="17">
        <v>18503.321758254478</v>
      </c>
      <c r="K16" s="17">
        <v>17869.266373436509</v>
      </c>
      <c r="L16" s="17">
        <v>19336.07905396272</v>
      </c>
      <c r="M16" s="17">
        <v>17688.938621271598</v>
      </c>
      <c r="N16" s="17">
        <v>18634.819475502245</v>
      </c>
      <c r="O16" s="130">
        <v>17658</v>
      </c>
    </row>
    <row r="17" spans="1:15" x14ac:dyDescent="0.25">
      <c r="A17" s="369"/>
      <c r="B17" s="70" t="s">
        <v>190</v>
      </c>
      <c r="C17" s="22">
        <v>24330</v>
      </c>
      <c r="D17" s="22">
        <v>24632</v>
      </c>
      <c r="E17" s="22">
        <v>24177</v>
      </c>
      <c r="F17" s="22">
        <v>23978</v>
      </c>
      <c r="G17" s="22">
        <v>25212</v>
      </c>
      <c r="H17" s="22">
        <v>25080</v>
      </c>
      <c r="I17" s="22">
        <v>25655</v>
      </c>
      <c r="J17" s="22">
        <v>25945</v>
      </c>
      <c r="K17" s="22">
        <v>25529</v>
      </c>
      <c r="L17" s="22">
        <v>25705</v>
      </c>
      <c r="M17" s="22">
        <v>24554</v>
      </c>
      <c r="N17" s="22">
        <v>25109</v>
      </c>
      <c r="O17" s="127">
        <v>25000</v>
      </c>
    </row>
    <row r="18" spans="1:15" x14ac:dyDescent="0.25">
      <c r="A18" s="110" t="s">
        <v>92</v>
      </c>
      <c r="B18" s="71"/>
      <c r="C18" s="29"/>
      <c r="D18" s="29"/>
      <c r="E18" s="29"/>
      <c r="F18" s="29"/>
      <c r="G18" s="29"/>
      <c r="H18" s="29"/>
      <c r="I18" s="29"/>
      <c r="J18" s="29"/>
      <c r="K18" s="29"/>
      <c r="L18" s="29"/>
      <c r="M18" s="29"/>
      <c r="N18" s="29"/>
      <c r="O18" s="128"/>
    </row>
    <row r="19" spans="1:15" x14ac:dyDescent="0.25">
      <c r="A19" s="370" t="s">
        <v>147</v>
      </c>
      <c r="B19" s="25" t="s">
        <v>2</v>
      </c>
      <c r="C19" s="24">
        <v>71998.118466898959</v>
      </c>
      <c r="D19" s="24">
        <v>70996.531993224169</v>
      </c>
      <c r="E19" s="24">
        <v>72061.120711506388</v>
      </c>
      <c r="F19" s="24">
        <v>71915.329326086954</v>
      </c>
      <c r="G19" s="24">
        <v>72483.153965060876</v>
      </c>
      <c r="H19" s="24">
        <v>72496.686082949309</v>
      </c>
      <c r="I19" s="24">
        <v>73898.291031746034</v>
      </c>
      <c r="J19" s="24">
        <v>73636.798140270665</v>
      </c>
      <c r="K19" s="24">
        <v>70380.830736218268</v>
      </c>
      <c r="L19" s="24">
        <v>69683.941306161651</v>
      </c>
      <c r="M19" s="24">
        <v>68440.398769123523</v>
      </c>
      <c r="N19" s="24">
        <v>67377.064599735924</v>
      </c>
      <c r="O19" s="129">
        <v>68000</v>
      </c>
    </row>
    <row r="20" spans="1:15" x14ac:dyDescent="0.25">
      <c r="A20" s="370"/>
      <c r="B20" s="12" t="s">
        <v>3</v>
      </c>
      <c r="C20" s="17">
        <v>35668.401207897798</v>
      </c>
      <c r="D20" s="17">
        <v>35001.741422924904</v>
      </c>
      <c r="E20" s="17">
        <v>34527.159955530849</v>
      </c>
      <c r="F20" s="17">
        <v>35537.158260869561</v>
      </c>
      <c r="G20" s="17">
        <v>36060.478485971413</v>
      </c>
      <c r="H20" s="17">
        <v>36378.834254992318</v>
      </c>
      <c r="I20" s="17">
        <v>37406.966884920635</v>
      </c>
      <c r="J20" s="17">
        <v>38641.048239141128</v>
      </c>
      <c r="K20" s="17">
        <v>38327.694216987227</v>
      </c>
      <c r="L20" s="17">
        <v>40359.837799540408</v>
      </c>
      <c r="M20" s="17">
        <v>40721.410784385662</v>
      </c>
      <c r="N20" s="17">
        <v>41616.776823938933</v>
      </c>
      <c r="O20" s="130">
        <v>41287</v>
      </c>
    </row>
    <row r="21" spans="1:15" x14ac:dyDescent="0.25">
      <c r="A21" s="370"/>
      <c r="B21" s="12" t="s">
        <v>145</v>
      </c>
      <c r="C21" s="17">
        <v>24099.370209059234</v>
      </c>
      <c r="D21" s="17">
        <v>23923.928153585544</v>
      </c>
      <c r="E21" s="17">
        <v>23263.143035019453</v>
      </c>
      <c r="F21" s="17">
        <v>23251.383673913042</v>
      </c>
      <c r="G21" s="17">
        <v>23350.767220751721</v>
      </c>
      <c r="H21" s="17">
        <v>24372.467014848949</v>
      </c>
      <c r="I21" s="17">
        <v>25240.534831349207</v>
      </c>
      <c r="J21" s="17">
        <v>23721.014883622225</v>
      </c>
      <c r="K21" s="17">
        <v>24720.733607985028</v>
      </c>
      <c r="L21" s="17">
        <v>26546.976810526856</v>
      </c>
      <c r="M21" s="17">
        <v>25519.452700223796</v>
      </c>
      <c r="N21" s="17">
        <v>25641.887213866867</v>
      </c>
      <c r="O21" s="130">
        <v>25400</v>
      </c>
    </row>
    <row r="22" spans="1:15" x14ac:dyDescent="0.25">
      <c r="A22" s="373"/>
      <c r="B22" s="72" t="s">
        <v>715</v>
      </c>
      <c r="C22" s="17">
        <v>47732.085946573752</v>
      </c>
      <c r="D22" s="17">
        <v>46721.277052512705</v>
      </c>
      <c r="E22" s="17">
        <v>47360.941300722625</v>
      </c>
      <c r="F22" s="17">
        <v>48443.086206521737</v>
      </c>
      <c r="G22" s="17">
        <v>48286.450142932765</v>
      </c>
      <c r="H22" s="17">
        <v>50016.929462365588</v>
      </c>
      <c r="I22" s="17">
        <v>51248.660714285717</v>
      </c>
      <c r="J22" s="17">
        <v>51818.159485294826</v>
      </c>
      <c r="K22" s="17">
        <v>50652.870605611628</v>
      </c>
      <c r="L22" s="17">
        <v>50637.882034334405</v>
      </c>
      <c r="M22" s="17">
        <v>50539.824632204574</v>
      </c>
      <c r="N22" s="17">
        <v>50582.557306647577</v>
      </c>
      <c r="O22" s="130">
        <v>50000</v>
      </c>
    </row>
    <row r="23" spans="1:15" x14ac:dyDescent="0.25">
      <c r="A23" s="369" t="s">
        <v>89</v>
      </c>
      <c r="B23" s="12" t="s">
        <v>2</v>
      </c>
      <c r="C23" s="17">
        <v>43110.873379790944</v>
      </c>
      <c r="D23" s="17">
        <v>44077.899491812539</v>
      </c>
      <c r="E23" s="17">
        <v>40839.399666481375</v>
      </c>
      <c r="F23" s="17">
        <v>41027.449565217386</v>
      </c>
      <c r="G23" s="17">
        <v>42296.830068819479</v>
      </c>
      <c r="H23" s="17">
        <v>41145.878136200714</v>
      </c>
      <c r="I23" s="17">
        <v>39860.069444444445</v>
      </c>
      <c r="J23" s="17">
        <v>42758.06501335957</v>
      </c>
      <c r="K23" s="17">
        <v>40095.745995178891</v>
      </c>
      <c r="L23" s="17">
        <v>39832.237236467372</v>
      </c>
      <c r="M23" s="17">
        <v>37879.598561837323</v>
      </c>
      <c r="N23" s="17">
        <v>35091.476889289981</v>
      </c>
      <c r="O23" s="130">
        <v>36880</v>
      </c>
    </row>
    <row r="24" spans="1:15" x14ac:dyDescent="0.25">
      <c r="A24" s="370"/>
      <c r="B24" s="12" t="s">
        <v>3</v>
      </c>
      <c r="C24" s="17">
        <v>25260.673193960512</v>
      </c>
      <c r="D24" s="17">
        <v>23879.850254093733</v>
      </c>
      <c r="E24" s="17">
        <v>22528.033841022789</v>
      </c>
      <c r="F24" s="17">
        <v>21966.156391304346</v>
      </c>
      <c r="G24" s="17">
        <v>22186.388967707782</v>
      </c>
      <c r="H24" s="17">
        <v>21504.011510496672</v>
      </c>
      <c r="I24" s="17">
        <v>25310.00523809524</v>
      </c>
      <c r="J24" s="17">
        <v>24124.079462916339</v>
      </c>
      <c r="K24" s="17">
        <v>25661.27743691449</v>
      </c>
      <c r="L24" s="17">
        <v>28527.886835371057</v>
      </c>
      <c r="M24" s="17">
        <v>27233.595085666067</v>
      </c>
      <c r="N24" s="17">
        <v>26333.918084458452</v>
      </c>
      <c r="O24" s="130">
        <v>27486</v>
      </c>
    </row>
    <row r="25" spans="1:15" x14ac:dyDescent="0.25">
      <c r="A25" s="370"/>
      <c r="B25" s="12" t="s">
        <v>145</v>
      </c>
      <c r="C25" s="17">
        <v>16727.562857142857</v>
      </c>
      <c r="D25" s="17">
        <v>16334.750988142294</v>
      </c>
      <c r="E25" s="17">
        <v>17162.757709838799</v>
      </c>
      <c r="F25" s="17">
        <v>16687.98997826087</v>
      </c>
      <c r="G25" s="17">
        <v>16941.825124404444</v>
      </c>
      <c r="H25" s="17">
        <v>15581.356251920122</v>
      </c>
      <c r="I25" s="17">
        <v>17153.49617063492</v>
      </c>
      <c r="J25" s="17">
        <v>15945.41192811876</v>
      </c>
      <c r="K25" s="17">
        <v>16077.754318332769</v>
      </c>
      <c r="L25" s="17">
        <v>18387.896297608339</v>
      </c>
      <c r="M25" s="17">
        <v>17031.920901052941</v>
      </c>
      <c r="N25" s="17">
        <v>19229.884368651055</v>
      </c>
      <c r="O25" s="130">
        <v>20299</v>
      </c>
    </row>
    <row r="26" spans="1:15" x14ac:dyDescent="0.25">
      <c r="A26" s="373"/>
      <c r="B26" s="72" t="s">
        <v>716</v>
      </c>
      <c r="C26" s="17">
        <v>32799.142857142855</v>
      </c>
      <c r="D26" s="17">
        <v>32694.133743647657</v>
      </c>
      <c r="E26" s="17">
        <v>31088.992996108947</v>
      </c>
      <c r="F26" s="17">
        <v>31184.854608695652</v>
      </c>
      <c r="G26" s="17">
        <v>30619.015606140812</v>
      </c>
      <c r="H26" s="17">
        <v>30784.170424987198</v>
      </c>
      <c r="I26" s="17">
        <v>32571.371031746035</v>
      </c>
      <c r="J26" s="17">
        <v>33219.608183580749</v>
      </c>
      <c r="K26" s="17">
        <v>32204.561942936238</v>
      </c>
      <c r="L26" s="17">
        <v>33343.713475997152</v>
      </c>
      <c r="M26" s="17">
        <v>32242.302289320174</v>
      </c>
      <c r="N26" s="17">
        <v>30620.83498192843</v>
      </c>
      <c r="O26" s="130">
        <v>31296</v>
      </c>
    </row>
    <row r="27" spans="1:15" x14ac:dyDescent="0.25">
      <c r="A27" s="366" t="s">
        <v>73</v>
      </c>
      <c r="B27" s="12" t="s">
        <v>2</v>
      </c>
      <c r="C27" s="17">
        <v>48665.394889663185</v>
      </c>
      <c r="D27" s="17">
        <v>47967.125917560705</v>
      </c>
      <c r="E27" s="17">
        <v>46710.063368538074</v>
      </c>
      <c r="F27" s="17">
        <v>46063.544043478258</v>
      </c>
      <c r="G27" s="17">
        <v>46186.193753308624</v>
      </c>
      <c r="H27" s="17">
        <v>45613.144905273934</v>
      </c>
      <c r="I27" s="17">
        <v>45214.985059523809</v>
      </c>
      <c r="J27" s="17">
        <v>47144.16061386501</v>
      </c>
      <c r="K27" s="17">
        <v>45854.177600869472</v>
      </c>
      <c r="L27" s="17">
        <v>48757.569277094393</v>
      </c>
      <c r="M27" s="17">
        <v>44750.908885790806</v>
      </c>
      <c r="N27" s="17">
        <v>41848.474475302188</v>
      </c>
      <c r="O27" s="130">
        <v>43300</v>
      </c>
    </row>
    <row r="28" spans="1:15" x14ac:dyDescent="0.25">
      <c r="A28" s="367"/>
      <c r="B28" s="12" t="s">
        <v>3</v>
      </c>
      <c r="C28" s="17">
        <v>23963.373763066204</v>
      </c>
      <c r="D28" s="17">
        <v>23490.927611518917</v>
      </c>
      <c r="E28" s="17">
        <v>24249.669783212896</v>
      </c>
      <c r="F28" s="17">
        <v>23543.367347826086</v>
      </c>
      <c r="G28" s="17">
        <v>24308.52302805717</v>
      </c>
      <c r="H28" s="17">
        <v>24372.467014848949</v>
      </c>
      <c r="I28" s="17">
        <v>24879.51648809524</v>
      </c>
      <c r="J28" s="17">
        <v>26487.100925041716</v>
      </c>
      <c r="K28" s="17">
        <v>26659.405581900857</v>
      </c>
      <c r="L28" s="17">
        <v>26799.540163235248</v>
      </c>
      <c r="M28" s="17">
        <v>27987.480803096452</v>
      </c>
      <c r="N28" s="17">
        <v>26420.677116907249</v>
      </c>
      <c r="O28" s="130">
        <v>25571</v>
      </c>
    </row>
    <row r="29" spans="1:15" x14ac:dyDescent="0.25">
      <c r="A29" s="367"/>
      <c r="B29" s="12" t="s">
        <v>145</v>
      </c>
      <c r="C29" s="17">
        <v>18967.504320557491</v>
      </c>
      <c r="D29" s="17">
        <v>18647.544302653867</v>
      </c>
      <c r="E29" s="17">
        <v>14610.295230683712</v>
      </c>
      <c r="F29" s="17">
        <v>15990.473423913043</v>
      </c>
      <c r="G29" s="17">
        <v>18619.113213340392</v>
      </c>
      <c r="H29" s="17">
        <v>18682.579866871478</v>
      </c>
      <c r="I29" s="17">
        <v>17240.049464285716</v>
      </c>
      <c r="J29" s="17">
        <v>18503.321758254478</v>
      </c>
      <c r="K29" s="17">
        <v>16589.614905505267</v>
      </c>
      <c r="L29" s="17">
        <v>19538.343772869015</v>
      </c>
      <c r="M29" s="17">
        <v>18288.046125765857</v>
      </c>
      <c r="N29" s="17">
        <v>19129.856307710088</v>
      </c>
      <c r="O29" s="130">
        <v>19200</v>
      </c>
    </row>
    <row r="30" spans="1:15" x14ac:dyDescent="0.25">
      <c r="A30" s="368"/>
      <c r="B30" s="72" t="s">
        <v>717</v>
      </c>
      <c r="C30" s="17">
        <v>36445.714227642275</v>
      </c>
      <c r="D30" s="17">
        <v>35868</v>
      </c>
      <c r="E30" s="17">
        <v>37010.705947748749</v>
      </c>
      <c r="F30" s="17">
        <v>36064.974902173912</v>
      </c>
      <c r="G30" s="17">
        <v>35247.358390682901</v>
      </c>
      <c r="H30" s="17">
        <v>35267.895545314896</v>
      </c>
      <c r="I30" s="17">
        <v>36434.38119047619</v>
      </c>
      <c r="J30" s="17">
        <v>37648.889274724846</v>
      </c>
      <c r="K30" s="17">
        <v>37276.247260837059</v>
      </c>
      <c r="L30" s="17">
        <v>39596.796822925651</v>
      </c>
      <c r="M30" s="17">
        <v>36957.24676229959</v>
      </c>
      <c r="N30" s="17">
        <v>35520.168579036981</v>
      </c>
      <c r="O30" s="130">
        <v>35000</v>
      </c>
    </row>
    <row r="31" spans="1:15" x14ac:dyDescent="0.25">
      <c r="A31" s="369" t="s">
        <v>148</v>
      </c>
      <c r="B31" s="12" t="s">
        <v>2</v>
      </c>
      <c r="C31" s="17">
        <v>79476.589698025549</v>
      </c>
      <c r="D31" s="17">
        <v>71432.125352907969</v>
      </c>
      <c r="E31" s="17">
        <v>68501.711784324623</v>
      </c>
      <c r="F31" s="17">
        <v>71992.692521739125</v>
      </c>
      <c r="G31" s="17">
        <v>69539.391826363149</v>
      </c>
      <c r="H31" s="17">
        <v>66740.965529953915</v>
      </c>
      <c r="I31" s="17">
        <v>74481.386904761908</v>
      </c>
      <c r="J31" s="17">
        <v>66439.216367161498</v>
      </c>
      <c r="K31" s="17">
        <v>65109.733064564825</v>
      </c>
      <c r="L31" s="17">
        <v>71770.799517099615</v>
      </c>
      <c r="M31" s="17">
        <v>65070.024213963385</v>
      </c>
      <c r="N31" s="17">
        <v>63285.100351650886</v>
      </c>
      <c r="O31" s="130">
        <v>61999</v>
      </c>
    </row>
    <row r="32" spans="1:15" x14ac:dyDescent="0.25">
      <c r="A32" s="370"/>
      <c r="B32" s="12" t="s">
        <v>3</v>
      </c>
      <c r="C32" s="17">
        <v>38372.330545876888</v>
      </c>
      <c r="D32" s="17">
        <v>34095.551665725579</v>
      </c>
      <c r="E32" s="17">
        <v>36765.669549749859</v>
      </c>
      <c r="F32" s="17">
        <v>28332.398717391305</v>
      </c>
      <c r="G32" s="17">
        <v>32815.290661725776</v>
      </c>
      <c r="H32" s="17">
        <v>42169.82270353302</v>
      </c>
      <c r="I32" s="17">
        <v>36830.70416666667</v>
      </c>
      <c r="J32" s="17">
        <v>36344.46599338291</v>
      </c>
      <c r="K32" s="17">
        <v>36101.100662786863</v>
      </c>
      <c r="L32" s="17">
        <v>36237.490195164472</v>
      </c>
      <c r="M32" s="17">
        <v>36220.207653079946</v>
      </c>
      <c r="N32" s="17">
        <v>41556.555848474469</v>
      </c>
      <c r="O32" s="130">
        <v>40256</v>
      </c>
    </row>
    <row r="33" spans="1:15" x14ac:dyDescent="0.25">
      <c r="A33" s="370"/>
      <c r="B33" s="12" t="s">
        <v>191</v>
      </c>
      <c r="C33" s="17">
        <v>19855.48111498258</v>
      </c>
      <c r="D33" s="17">
        <v>21312.960813099944</v>
      </c>
      <c r="E33" s="17">
        <v>20440.119533073928</v>
      </c>
      <c r="F33" s="17">
        <v>18846.672695652174</v>
      </c>
      <c r="G33" s="17">
        <v>23140.498496559023</v>
      </c>
      <c r="H33" s="17">
        <v>21955.440573476702</v>
      </c>
      <c r="I33" s="17">
        <v>23303.335456349207</v>
      </c>
      <c r="J33" s="17">
        <v>27636.49936819361</v>
      </c>
      <c r="K33" s="17">
        <v>20223.825074429991</v>
      </c>
      <c r="L33" s="17">
        <v>20708.054554692197</v>
      </c>
      <c r="M33" s="17">
        <v>22652.370565359357</v>
      </c>
      <c r="N33" s="17">
        <v>27439.330227306065</v>
      </c>
      <c r="O33" s="130">
        <v>22879</v>
      </c>
    </row>
    <row r="34" spans="1:15" ht="15.75" thickBot="1" x14ac:dyDescent="0.3">
      <c r="A34" s="371"/>
      <c r="B34" s="290" t="s">
        <v>718</v>
      </c>
      <c r="C34" s="133">
        <v>60190</v>
      </c>
      <c r="D34" s="133">
        <v>56394</v>
      </c>
      <c r="E34" s="133">
        <v>52835.973318510281</v>
      </c>
      <c r="F34" s="133">
        <v>52591.999521739126</v>
      </c>
      <c r="G34" s="133">
        <v>53484.827792482793</v>
      </c>
      <c r="H34" s="133">
        <v>55950.165089605733</v>
      </c>
      <c r="I34" s="133">
        <v>55569.492242063498</v>
      </c>
      <c r="J34" s="133">
        <v>52395.073347416343</v>
      </c>
      <c r="K34" s="133">
        <v>51482.511307320383</v>
      </c>
      <c r="L34" s="133">
        <v>54487.332795741531</v>
      </c>
      <c r="M34" s="133">
        <v>52630.909876362035</v>
      </c>
      <c r="N34" s="133">
        <v>53096.527858663896</v>
      </c>
      <c r="O34" s="134">
        <v>51700</v>
      </c>
    </row>
    <row r="35" spans="1:15" x14ac:dyDescent="0.25">
      <c r="A35" s="59"/>
    </row>
    <row r="36" spans="1:15" x14ac:dyDescent="0.25">
      <c r="A36" s="58" t="s">
        <v>714</v>
      </c>
      <c r="C36" s="1"/>
      <c r="D36" s="1"/>
      <c r="E36" s="1"/>
      <c r="F36" s="1"/>
      <c r="G36" s="1"/>
      <c r="H36" s="1"/>
      <c r="I36" s="1"/>
      <c r="J36" s="1"/>
      <c r="K36" s="1"/>
      <c r="L36" s="1"/>
      <c r="M36" s="1"/>
      <c r="N36" s="1"/>
      <c r="O36" s="1"/>
    </row>
    <row r="37" spans="1:15" x14ac:dyDescent="0.25">
      <c r="A37" s="58" t="s">
        <v>192</v>
      </c>
      <c r="C37" s="1"/>
      <c r="D37" s="1"/>
      <c r="E37" s="1"/>
      <c r="F37" s="1"/>
      <c r="G37" s="1"/>
      <c r="H37" s="1"/>
      <c r="I37" s="1"/>
      <c r="J37" s="1"/>
      <c r="K37" s="1"/>
      <c r="L37" s="1"/>
      <c r="M37" s="1"/>
      <c r="N37" s="1"/>
      <c r="O37" s="1"/>
    </row>
    <row r="38" spans="1:15" x14ac:dyDescent="0.25">
      <c r="C38" s="1"/>
      <c r="D38" s="1"/>
      <c r="E38" s="1"/>
      <c r="F38" s="1"/>
      <c r="G38" s="1"/>
      <c r="H38" s="1"/>
      <c r="I38" s="1"/>
      <c r="J38" s="1"/>
      <c r="K38" s="1"/>
      <c r="L38" s="1"/>
      <c r="M38" s="1"/>
      <c r="N38" s="1"/>
      <c r="O38" s="1"/>
    </row>
  </sheetData>
  <mergeCells count="7">
    <mergeCell ref="A27:A30"/>
    <mergeCell ref="A31:A34"/>
    <mergeCell ref="A5:A8"/>
    <mergeCell ref="A10:A13"/>
    <mergeCell ref="A14:A17"/>
    <mergeCell ref="A19:A22"/>
    <mergeCell ref="A23:A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pane ySplit="4" topLeftCell="A5" activePane="bottomLeft" state="frozen"/>
      <selection pane="bottomLeft" activeCell="J17" sqref="J17"/>
    </sheetView>
  </sheetViews>
  <sheetFormatPr defaultRowHeight="15" x14ac:dyDescent="0.25"/>
  <cols>
    <col min="1" max="1" width="18.140625" style="20" customWidth="1"/>
    <col min="2" max="7" width="11.140625" style="20" bestFit="1" customWidth="1"/>
    <col min="8" max="16384" width="9.140625" style="20"/>
  </cols>
  <sheetData>
    <row r="1" spans="1:8" ht="15.75" x14ac:dyDescent="0.25">
      <c r="A1" s="275" t="s">
        <v>695</v>
      </c>
    </row>
    <row r="2" spans="1:8" x14ac:dyDescent="0.25">
      <c r="A2" s="62"/>
    </row>
    <row r="3" spans="1:8" ht="15.75" thickBot="1" x14ac:dyDescent="0.3">
      <c r="A3" s="20" t="s">
        <v>685</v>
      </c>
    </row>
    <row r="4" spans="1:8" ht="15.75" thickBot="1" x14ac:dyDescent="0.3">
      <c r="A4" s="291"/>
      <c r="B4" s="273">
        <v>2014</v>
      </c>
      <c r="C4" s="273">
        <v>2015</v>
      </c>
      <c r="D4" s="273">
        <v>2020</v>
      </c>
      <c r="E4" s="273">
        <v>2025</v>
      </c>
      <c r="F4" s="273">
        <v>2030</v>
      </c>
      <c r="G4" s="274">
        <v>2035</v>
      </c>
    </row>
    <row r="5" spans="1:8" x14ac:dyDescent="0.25">
      <c r="A5" s="272" t="s">
        <v>4</v>
      </c>
      <c r="B5" s="270">
        <v>123902.13098920372</v>
      </c>
      <c r="C5" s="270">
        <v>125254.20267267717</v>
      </c>
      <c r="D5" s="270">
        <v>131694.8031640932</v>
      </c>
      <c r="E5" s="270">
        <v>137666.31553108266</v>
      </c>
      <c r="F5" s="270">
        <v>143101.15257659712</v>
      </c>
      <c r="G5" s="271">
        <v>147984.50536615992</v>
      </c>
    </row>
    <row r="6" spans="1:8" x14ac:dyDescent="0.25">
      <c r="A6" s="110" t="s">
        <v>140</v>
      </c>
      <c r="B6" s="260"/>
      <c r="C6" s="260"/>
      <c r="D6" s="260"/>
      <c r="E6" s="260"/>
      <c r="F6" s="260"/>
      <c r="G6" s="261"/>
    </row>
    <row r="7" spans="1:8" x14ac:dyDescent="0.25">
      <c r="A7" s="292" t="s">
        <v>1</v>
      </c>
      <c r="B7" s="293">
        <v>59214.636886668864</v>
      </c>
      <c r="C7" s="293">
        <v>59336.912459320964</v>
      </c>
      <c r="D7" s="293">
        <v>60645.627150454922</v>
      </c>
      <c r="E7" s="293">
        <v>62492.707297576002</v>
      </c>
      <c r="F7" s="293">
        <v>64429.918050643457</v>
      </c>
      <c r="G7" s="294">
        <v>65884.426655260118</v>
      </c>
      <c r="H7" s="295"/>
    </row>
    <row r="8" spans="1:8" x14ac:dyDescent="0.25">
      <c r="A8" s="292" t="s">
        <v>114</v>
      </c>
      <c r="B8" s="293">
        <v>12441.787280743471</v>
      </c>
      <c r="C8" s="293">
        <v>12293.315682288612</v>
      </c>
      <c r="D8" s="293">
        <v>11257.581265686598</v>
      </c>
      <c r="E8" s="293">
        <v>10834.925646915768</v>
      </c>
      <c r="F8" s="293">
        <v>10988.423461771761</v>
      </c>
      <c r="G8" s="294">
        <v>11882.932141263995</v>
      </c>
      <c r="H8" s="295"/>
    </row>
    <row r="9" spans="1:8" x14ac:dyDescent="0.25">
      <c r="A9" s="292" t="s">
        <v>115</v>
      </c>
      <c r="B9" s="293">
        <v>12411.917856134154</v>
      </c>
      <c r="C9" s="293">
        <v>12571.29212949089</v>
      </c>
      <c r="D9" s="293">
        <v>12511.842372269981</v>
      </c>
      <c r="E9" s="293">
        <v>11469.06485950121</v>
      </c>
      <c r="F9" s="293">
        <v>11043.276988522925</v>
      </c>
      <c r="G9" s="294">
        <v>11212.438668931756</v>
      </c>
      <c r="H9" s="295"/>
    </row>
    <row r="10" spans="1:8" x14ac:dyDescent="0.25">
      <c r="A10" s="292" t="s">
        <v>116</v>
      </c>
      <c r="B10" s="293">
        <v>11039.658398168607</v>
      </c>
      <c r="C10" s="293">
        <v>11338.357285437665</v>
      </c>
      <c r="D10" s="293">
        <v>12497.782752427962</v>
      </c>
      <c r="E10" s="293">
        <v>12491.285115808492</v>
      </c>
      <c r="F10" s="293">
        <v>11501.835210387082</v>
      </c>
      <c r="G10" s="294">
        <v>11111.103043897447</v>
      </c>
      <c r="H10" s="295"/>
    </row>
    <row r="11" spans="1:8" x14ac:dyDescent="0.25">
      <c r="A11" s="292" t="s">
        <v>117</v>
      </c>
      <c r="B11" s="293">
        <v>9241.6800502078477</v>
      </c>
      <c r="C11" s="293">
        <v>9687.4599250122574</v>
      </c>
      <c r="D11" s="293">
        <v>10893.925278217359</v>
      </c>
      <c r="E11" s="293">
        <v>12037.457619289684</v>
      </c>
      <c r="F11" s="293">
        <v>12055.303478447286</v>
      </c>
      <c r="G11" s="294">
        <v>11119.602143985296</v>
      </c>
      <c r="H11" s="295"/>
    </row>
    <row r="12" spans="1:8" x14ac:dyDescent="0.25">
      <c r="A12" s="292" t="s">
        <v>118</v>
      </c>
      <c r="B12" s="293">
        <v>6805.420413424129</v>
      </c>
      <c r="C12" s="293">
        <v>7051.3691408715576</v>
      </c>
      <c r="D12" s="293">
        <v>9057.5534104608614</v>
      </c>
      <c r="E12" s="293">
        <v>10216.60836684879</v>
      </c>
      <c r="F12" s="293">
        <v>11320.399359193299</v>
      </c>
      <c r="G12" s="294">
        <v>11360.653848826792</v>
      </c>
      <c r="H12" s="295"/>
    </row>
    <row r="13" spans="1:8" x14ac:dyDescent="0.25">
      <c r="A13" s="292" t="s">
        <v>119</v>
      </c>
      <c r="B13" s="293">
        <v>4985.270083696576</v>
      </c>
      <c r="C13" s="293">
        <v>5107.4916654339786</v>
      </c>
      <c r="D13" s="293">
        <v>6304.6497025690005</v>
      </c>
      <c r="E13" s="293">
        <v>8139.775000470514</v>
      </c>
      <c r="F13" s="293">
        <v>9213.1305552106332</v>
      </c>
      <c r="G13" s="294">
        <v>10234.421113913391</v>
      </c>
      <c r="H13" s="295"/>
    </row>
    <row r="14" spans="1:8" x14ac:dyDescent="0.25">
      <c r="A14" s="292" t="s">
        <v>145</v>
      </c>
      <c r="B14" s="293">
        <v>7761.7600574724493</v>
      </c>
      <c r="C14" s="293">
        <v>7868.0044214741347</v>
      </c>
      <c r="D14" s="293">
        <v>8525.8412869543172</v>
      </c>
      <c r="E14" s="293">
        <v>9984.4916750325556</v>
      </c>
      <c r="F14" s="293">
        <v>12548.865530118928</v>
      </c>
      <c r="G14" s="294">
        <v>15178.927825671539</v>
      </c>
      <c r="H14" s="295"/>
    </row>
    <row r="15" spans="1:8" x14ac:dyDescent="0.25">
      <c r="A15" s="296" t="s">
        <v>161</v>
      </c>
      <c r="B15" s="297">
        <v>64687.494139847251</v>
      </c>
      <c r="C15" s="297">
        <v>65917.2902500091</v>
      </c>
      <c r="D15" s="297">
        <v>71049.176068586079</v>
      </c>
      <c r="E15" s="297">
        <v>75173.608283867012</v>
      </c>
      <c r="F15" s="297">
        <v>78671.234583651923</v>
      </c>
      <c r="G15" s="298">
        <v>82100.078786490223</v>
      </c>
      <c r="H15" s="295"/>
    </row>
    <row r="16" spans="1:8" x14ac:dyDescent="0.25">
      <c r="A16" s="299" t="s">
        <v>229</v>
      </c>
      <c r="B16" s="259"/>
      <c r="C16" s="259"/>
      <c r="D16" s="259"/>
      <c r="E16" s="259"/>
      <c r="F16" s="259"/>
      <c r="G16" s="262"/>
      <c r="H16" s="295"/>
    </row>
    <row r="17" spans="1:8" x14ac:dyDescent="0.25">
      <c r="A17" s="292" t="s">
        <v>1</v>
      </c>
      <c r="B17" s="293">
        <v>35601.799679583841</v>
      </c>
      <c r="C17" s="293">
        <v>35374.698496836951</v>
      </c>
      <c r="D17" s="293">
        <v>34773.862311386205</v>
      </c>
      <c r="E17" s="293">
        <v>34660.598387507736</v>
      </c>
      <c r="F17" s="293">
        <v>34473.642618052349</v>
      </c>
      <c r="G17" s="294">
        <v>33742.730211731876</v>
      </c>
      <c r="H17" s="295"/>
    </row>
    <row r="18" spans="1:8" x14ac:dyDescent="0.25">
      <c r="A18" s="292" t="s">
        <v>114</v>
      </c>
      <c r="B18" s="293">
        <v>8563.6123118315427</v>
      </c>
      <c r="C18" s="293">
        <v>8368.7759184386377</v>
      </c>
      <c r="D18" s="293">
        <v>7178.7230072299581</v>
      </c>
      <c r="E18" s="293">
        <v>6454.1603317079253</v>
      </c>
      <c r="F18" s="293">
        <v>6315.7942815885463</v>
      </c>
      <c r="G18" s="294">
        <v>6752.1058698246497</v>
      </c>
      <c r="H18" s="295"/>
    </row>
    <row r="19" spans="1:8" x14ac:dyDescent="0.25">
      <c r="A19" s="292" t="s">
        <v>115</v>
      </c>
      <c r="B19" s="293">
        <v>8976.3000286649531</v>
      </c>
      <c r="C19" s="293">
        <v>9019.605965591456</v>
      </c>
      <c r="D19" s="293">
        <v>8586.7867325757543</v>
      </c>
      <c r="E19" s="293">
        <v>7383.167623865108</v>
      </c>
      <c r="F19" s="293">
        <v>6650.940072493845</v>
      </c>
      <c r="G19" s="294">
        <v>6520.9888769186928</v>
      </c>
      <c r="H19" s="295"/>
    </row>
    <row r="20" spans="1:8" x14ac:dyDescent="0.25">
      <c r="A20" s="292" t="s">
        <v>116</v>
      </c>
      <c r="B20" s="293">
        <v>8192.1837802738428</v>
      </c>
      <c r="C20" s="293">
        <v>8365.1806088195353</v>
      </c>
      <c r="D20" s="293">
        <v>8883.8508715725238</v>
      </c>
      <c r="E20" s="293">
        <v>8481.2327276263732</v>
      </c>
      <c r="F20" s="293">
        <v>7312.8714557745616</v>
      </c>
      <c r="G20" s="294">
        <v>6601.7986187276583</v>
      </c>
      <c r="H20" s="295"/>
    </row>
    <row r="21" spans="1:8" x14ac:dyDescent="0.25">
      <c r="A21" s="292" t="s">
        <v>117</v>
      </c>
      <c r="B21" s="293">
        <v>7127.3298997918555</v>
      </c>
      <c r="C21" s="293">
        <v>7424.8046757104057</v>
      </c>
      <c r="D21" s="293">
        <v>8066.3722074111038</v>
      </c>
      <c r="E21" s="293">
        <v>8598.2740322362242</v>
      </c>
      <c r="F21" s="293">
        <v>8235.8548546053062</v>
      </c>
      <c r="G21" s="294">
        <v>7125.2637272562961</v>
      </c>
      <c r="H21" s="295"/>
    </row>
    <row r="22" spans="1:8" x14ac:dyDescent="0.25">
      <c r="A22" s="292" t="s">
        <v>118</v>
      </c>
      <c r="B22" s="293">
        <v>5401.6518798799361</v>
      </c>
      <c r="C22" s="293">
        <v>5583.1103598159561</v>
      </c>
      <c r="D22" s="293">
        <v>7039.3289940214099</v>
      </c>
      <c r="E22" s="293">
        <v>7685.029871646977</v>
      </c>
      <c r="F22" s="293">
        <v>8227.653465159663</v>
      </c>
      <c r="G22" s="294">
        <v>7910.9398083855258</v>
      </c>
      <c r="H22" s="295"/>
    </row>
    <row r="23" spans="1:8" x14ac:dyDescent="0.25">
      <c r="A23" s="292" t="s">
        <v>119</v>
      </c>
      <c r="B23" s="293">
        <v>4031.0321504263875</v>
      </c>
      <c r="C23" s="293">
        <v>4114.788806631369</v>
      </c>
      <c r="D23" s="293">
        <v>5067.9783155496652</v>
      </c>
      <c r="E23" s="293">
        <v>6432.1410013770401</v>
      </c>
      <c r="F23" s="293">
        <v>7065.3372147841619</v>
      </c>
      <c r="G23" s="294">
        <v>7604.651648243228</v>
      </c>
      <c r="H23" s="295"/>
    </row>
    <row r="24" spans="1:8" x14ac:dyDescent="0.25">
      <c r="A24" s="292" t="s">
        <v>145</v>
      </c>
      <c r="B24" s="293">
        <v>6523.4048291334511</v>
      </c>
      <c r="C24" s="293">
        <v>6579.749710135231</v>
      </c>
      <c r="D24" s="293">
        <v>6977.4671156813583</v>
      </c>
      <c r="E24" s="293">
        <v>8082.3676535350814</v>
      </c>
      <c r="F24" s="293">
        <v>10039.734331474354</v>
      </c>
      <c r="G24" s="294">
        <v>11916.989119957778</v>
      </c>
      <c r="H24" s="295"/>
    </row>
    <row r="25" spans="1:8" x14ac:dyDescent="0.25">
      <c r="A25" s="292" t="s">
        <v>161</v>
      </c>
      <c r="B25" s="293">
        <v>48815.514880001974</v>
      </c>
      <c r="C25" s="293">
        <v>49456.016045142591</v>
      </c>
      <c r="D25" s="293">
        <v>51800.507244041772</v>
      </c>
      <c r="E25" s="293">
        <v>53116.373241994734</v>
      </c>
      <c r="F25" s="293">
        <v>53848.185675880442</v>
      </c>
      <c r="G25" s="294">
        <v>54432.737669313829</v>
      </c>
      <c r="H25" s="295"/>
    </row>
    <row r="26" spans="1:8" x14ac:dyDescent="0.25">
      <c r="A26" s="141" t="s">
        <v>230</v>
      </c>
      <c r="B26" s="260"/>
      <c r="C26" s="260"/>
      <c r="D26" s="260"/>
      <c r="E26" s="260"/>
      <c r="F26" s="260"/>
      <c r="G26" s="261"/>
      <c r="H26" s="295"/>
    </row>
    <row r="27" spans="1:8" x14ac:dyDescent="0.25">
      <c r="A27" s="292" t="s">
        <v>1</v>
      </c>
      <c r="B27" s="293">
        <v>8197.9918704720149</v>
      </c>
      <c r="C27" s="293">
        <v>8248.6709756241307</v>
      </c>
      <c r="D27" s="293">
        <v>8606.2748547916817</v>
      </c>
      <c r="E27" s="293">
        <v>8977.4539363256645</v>
      </c>
      <c r="F27" s="293">
        <v>9328.1986632613698</v>
      </c>
      <c r="G27" s="294">
        <v>9638.2316674295416</v>
      </c>
      <c r="H27" s="295"/>
    </row>
    <row r="28" spans="1:8" x14ac:dyDescent="0.25">
      <c r="A28" s="292" t="s">
        <v>114</v>
      </c>
      <c r="B28" s="293">
        <v>1618.1930012845419</v>
      </c>
      <c r="C28" s="293">
        <v>1608.8850350343648</v>
      </c>
      <c r="D28" s="293">
        <v>1498.8691760836612</v>
      </c>
      <c r="E28" s="293">
        <v>1466.7128668424441</v>
      </c>
      <c r="F28" s="293">
        <v>1507.7940028229962</v>
      </c>
      <c r="G28" s="294">
        <v>1627.323996407627</v>
      </c>
      <c r="H28" s="295"/>
    </row>
    <row r="29" spans="1:8" x14ac:dyDescent="0.25">
      <c r="A29" s="292" t="s">
        <v>115</v>
      </c>
      <c r="B29" s="293">
        <v>1548.9329819343586</v>
      </c>
      <c r="C29" s="293">
        <v>1584.9389093674788</v>
      </c>
      <c r="D29" s="293">
        <v>1616.8855460692728</v>
      </c>
      <c r="E29" s="293">
        <v>1513.5268425207958</v>
      </c>
      <c r="F29" s="293">
        <v>1487.1535728359668</v>
      </c>
      <c r="G29" s="294">
        <v>1534.6611347788382</v>
      </c>
      <c r="H29" s="295"/>
    </row>
    <row r="30" spans="1:8" x14ac:dyDescent="0.25">
      <c r="A30" s="292" t="s">
        <v>116</v>
      </c>
      <c r="B30" s="293">
        <v>1322.2521831159881</v>
      </c>
      <c r="C30" s="293">
        <v>1370.7319226447851</v>
      </c>
      <c r="D30" s="293">
        <v>1605.715336227579</v>
      </c>
      <c r="E30" s="293">
        <v>1646.8702625512281</v>
      </c>
      <c r="F30" s="293">
        <v>1549.9300750732314</v>
      </c>
      <c r="G30" s="294">
        <v>1529.8601800228887</v>
      </c>
      <c r="H30" s="295"/>
    </row>
    <row r="31" spans="1:8" x14ac:dyDescent="0.25">
      <c r="A31" s="292" t="s">
        <v>117</v>
      </c>
      <c r="B31" s="293">
        <v>987.17993436755739</v>
      </c>
      <c r="C31" s="293">
        <v>1056.1499785883652</v>
      </c>
      <c r="D31" s="293">
        <v>1300.8561816595782</v>
      </c>
      <c r="E31" s="293">
        <v>1532.4014969388593</v>
      </c>
      <c r="F31" s="293">
        <v>1580.6469326003169</v>
      </c>
      <c r="G31" s="294">
        <v>1496.0687337075169</v>
      </c>
      <c r="H31" s="295"/>
    </row>
    <row r="32" spans="1:8" x14ac:dyDescent="0.25">
      <c r="A32" s="292" t="s">
        <v>118</v>
      </c>
      <c r="B32" s="293">
        <v>668.82777619484568</v>
      </c>
      <c r="C32" s="293">
        <v>693.80537510085185</v>
      </c>
      <c r="D32" s="293">
        <v>937.84836655320134</v>
      </c>
      <c r="E32" s="293">
        <v>1162.2850084268132</v>
      </c>
      <c r="F32" s="293">
        <v>1377.3121227955917</v>
      </c>
      <c r="G32" s="294">
        <v>1429.2124811549822</v>
      </c>
      <c r="H32" s="295"/>
    </row>
    <row r="33" spans="1:8" x14ac:dyDescent="0.25">
      <c r="A33" s="292" t="s">
        <v>119</v>
      </c>
      <c r="B33" s="293">
        <v>442.57042467301818</v>
      </c>
      <c r="C33" s="293">
        <v>457.35827243488626</v>
      </c>
      <c r="D33" s="293">
        <v>555.43490818504085</v>
      </c>
      <c r="E33" s="293">
        <v>757.18542510888028</v>
      </c>
      <c r="F33" s="293">
        <v>944.86110277042292</v>
      </c>
      <c r="G33" s="294">
        <v>1126.9948768233842</v>
      </c>
      <c r="H33" s="295"/>
    </row>
    <row r="34" spans="1:8" x14ac:dyDescent="0.25">
      <c r="A34" s="292" t="s">
        <v>145</v>
      </c>
      <c r="B34" s="293">
        <v>610.02300967849874</v>
      </c>
      <c r="C34" s="293">
        <v>630.02591115927873</v>
      </c>
      <c r="D34" s="293">
        <v>732.52269559723379</v>
      </c>
      <c r="E34" s="293">
        <v>879.29246807490517</v>
      </c>
      <c r="F34" s="293">
        <v>1145.5221656724257</v>
      </c>
      <c r="G34" s="294">
        <v>1480.8894500753736</v>
      </c>
      <c r="H34" s="295"/>
    </row>
    <row r="35" spans="1:8" x14ac:dyDescent="0.25">
      <c r="A35" s="292" t="s">
        <v>161</v>
      </c>
      <c r="B35" s="293">
        <v>7197.9793112488078</v>
      </c>
      <c r="C35" s="293">
        <v>7401.8954043300109</v>
      </c>
      <c r="D35" s="293">
        <v>8248.1322103755665</v>
      </c>
      <c r="E35" s="293">
        <v>8958.274370463927</v>
      </c>
      <c r="F35" s="293">
        <v>9593.2199745709513</v>
      </c>
      <c r="G35" s="294">
        <v>10225.01085297061</v>
      </c>
      <c r="H35" s="295"/>
    </row>
    <row r="36" spans="1:8" x14ac:dyDescent="0.25">
      <c r="A36" s="141" t="s">
        <v>153</v>
      </c>
      <c r="B36" s="260"/>
      <c r="C36" s="260"/>
      <c r="D36" s="260"/>
      <c r="E36" s="260"/>
      <c r="F36" s="260"/>
      <c r="G36" s="261"/>
      <c r="H36" s="295"/>
    </row>
    <row r="37" spans="1:8" x14ac:dyDescent="0.25">
      <c r="A37" s="292" t="s">
        <v>1</v>
      </c>
      <c r="B37" s="293">
        <v>10500.67760390707</v>
      </c>
      <c r="C37" s="293">
        <v>10699.073171167709</v>
      </c>
      <c r="D37" s="293">
        <v>11733.167379580054</v>
      </c>
      <c r="E37" s="293">
        <v>12813.511998356833</v>
      </c>
      <c r="F37" s="293">
        <v>14006.021482393802</v>
      </c>
      <c r="G37" s="294">
        <v>15305.010074773307</v>
      </c>
    </row>
    <row r="38" spans="1:8" x14ac:dyDescent="0.25">
      <c r="A38" s="292" t="s">
        <v>114</v>
      </c>
      <c r="B38" s="293">
        <v>1476.7388154468379</v>
      </c>
      <c r="C38" s="293">
        <v>1525.1759702535046</v>
      </c>
      <c r="D38" s="293">
        <v>1735.1329565917356</v>
      </c>
      <c r="E38" s="293">
        <v>1956.1161392406411</v>
      </c>
      <c r="F38" s="293">
        <v>2146.874286694816</v>
      </c>
      <c r="G38" s="294">
        <v>2344.9790214177551</v>
      </c>
    </row>
    <row r="39" spans="1:8" x14ac:dyDescent="0.25">
      <c r="A39" s="292" t="s">
        <v>115</v>
      </c>
      <c r="B39" s="293">
        <v>1188.8273296811051</v>
      </c>
      <c r="C39" s="293">
        <v>1251.1228617300544</v>
      </c>
      <c r="D39" s="293">
        <v>1527.2172155216565</v>
      </c>
      <c r="E39" s="293">
        <v>1736.8767240328391</v>
      </c>
      <c r="F39" s="293">
        <v>1958.0773212008351</v>
      </c>
      <c r="G39" s="294">
        <v>2149.1598348128014</v>
      </c>
    </row>
    <row r="40" spans="1:8" x14ac:dyDescent="0.25">
      <c r="A40" s="292" t="s">
        <v>116</v>
      </c>
      <c r="B40" s="293">
        <v>964.78918429887403</v>
      </c>
      <c r="C40" s="293">
        <v>1022.7435544784043</v>
      </c>
      <c r="D40" s="293">
        <v>1329.8071691928988</v>
      </c>
      <c r="E40" s="293">
        <v>1622.215120503035</v>
      </c>
      <c r="F40" s="293">
        <v>1845.1614331663725</v>
      </c>
      <c r="G40" s="294">
        <v>2079.6430698569238</v>
      </c>
    </row>
    <row r="41" spans="1:8" x14ac:dyDescent="0.25">
      <c r="A41" s="292" t="s">
        <v>117</v>
      </c>
      <c r="B41" s="293">
        <v>670.92189025822097</v>
      </c>
      <c r="C41" s="293">
        <v>716.35131301850424</v>
      </c>
      <c r="D41" s="293">
        <v>934.86088602325367</v>
      </c>
      <c r="E41" s="293">
        <v>1214.3908674723905</v>
      </c>
      <c r="F41" s="293">
        <v>1481.6274834177796</v>
      </c>
      <c r="G41" s="294">
        <v>1685.535142939083</v>
      </c>
    </row>
    <row r="42" spans="1:8" x14ac:dyDescent="0.25">
      <c r="A42" s="292" t="s">
        <v>118</v>
      </c>
      <c r="B42" s="293">
        <v>456.99654723381167</v>
      </c>
      <c r="C42" s="293">
        <v>482.56292643866692</v>
      </c>
      <c r="D42" s="293">
        <v>670.53018218228874</v>
      </c>
      <c r="E42" s="293">
        <v>874.22436335759699</v>
      </c>
      <c r="F42" s="293">
        <v>1135.5723148315396</v>
      </c>
      <c r="G42" s="294">
        <v>1385.0401799866186</v>
      </c>
    </row>
    <row r="43" spans="1:8" x14ac:dyDescent="0.25">
      <c r="A43" s="292" t="s">
        <v>119</v>
      </c>
      <c r="B43" s="293">
        <v>305.04413230869136</v>
      </c>
      <c r="C43" s="293">
        <v>317.71900337759217</v>
      </c>
      <c r="D43" s="293">
        <v>402.83750839103232</v>
      </c>
      <c r="E43" s="293">
        <v>558.8167897530335</v>
      </c>
      <c r="F43" s="293">
        <v>728.41825468130742</v>
      </c>
      <c r="G43" s="294">
        <v>945.26223889213463</v>
      </c>
    </row>
    <row r="44" spans="1:8" x14ac:dyDescent="0.25">
      <c r="A44" s="292" t="s">
        <v>145</v>
      </c>
      <c r="B44" s="293">
        <v>394.15608083233741</v>
      </c>
      <c r="C44" s="293">
        <v>414.55606106392963</v>
      </c>
      <c r="D44" s="293">
        <v>514.66930229627212</v>
      </c>
      <c r="E44" s="293">
        <v>639.80772193111318</v>
      </c>
      <c r="F44" s="293">
        <v>841.49542626647656</v>
      </c>
      <c r="G44" s="294">
        <v>1104.0723862623847</v>
      </c>
    </row>
    <row r="45" spans="1:8" x14ac:dyDescent="0.25">
      <c r="A45" s="292" t="s">
        <v>161</v>
      </c>
      <c r="B45" s="293">
        <v>5457.4739800598782</v>
      </c>
      <c r="C45" s="293">
        <v>5730.2316903606561</v>
      </c>
      <c r="D45" s="293">
        <v>7115.0552201991377</v>
      </c>
      <c r="E45" s="293">
        <v>8602.4477262906512</v>
      </c>
      <c r="F45" s="293">
        <v>10137.226520259128</v>
      </c>
      <c r="G45" s="294">
        <v>11693.691874167702</v>
      </c>
    </row>
    <row r="46" spans="1:8" x14ac:dyDescent="0.25">
      <c r="A46" s="141" t="s">
        <v>154</v>
      </c>
      <c r="B46" s="260"/>
      <c r="C46" s="260"/>
      <c r="D46" s="260"/>
      <c r="E46" s="260"/>
      <c r="F46" s="260"/>
      <c r="G46" s="261"/>
    </row>
    <row r="47" spans="1:8" x14ac:dyDescent="0.25">
      <c r="A47" s="292" t="s">
        <v>1</v>
      </c>
      <c r="B47" s="293">
        <v>4914.1677327059397</v>
      </c>
      <c r="C47" s="293">
        <v>5014.4698156921795</v>
      </c>
      <c r="D47" s="293">
        <v>5532.3226046969867</v>
      </c>
      <c r="E47" s="293">
        <v>6041.1429753857756</v>
      </c>
      <c r="F47" s="293">
        <v>6622.0552869359362</v>
      </c>
      <c r="G47" s="294">
        <v>7198.4547013253887</v>
      </c>
    </row>
    <row r="48" spans="1:8" x14ac:dyDescent="0.25">
      <c r="A48" s="292" t="s">
        <v>114</v>
      </c>
      <c r="B48" s="293">
        <v>783.24315218054687</v>
      </c>
      <c r="C48" s="293">
        <v>790.47875856210453</v>
      </c>
      <c r="D48" s="293">
        <v>844.85612578124324</v>
      </c>
      <c r="E48" s="293">
        <v>957.93630912475635</v>
      </c>
      <c r="F48" s="293">
        <v>1017.9608906654007</v>
      </c>
      <c r="G48" s="294">
        <v>1158.5232536139647</v>
      </c>
    </row>
    <row r="49" spans="1:7" x14ac:dyDescent="0.25">
      <c r="A49" s="292" t="s">
        <v>115</v>
      </c>
      <c r="B49" s="293">
        <v>697.85751585373782</v>
      </c>
      <c r="C49" s="293">
        <v>715.62439280190051</v>
      </c>
      <c r="D49" s="293">
        <v>780.9528781032983</v>
      </c>
      <c r="E49" s="293">
        <v>835.49366908246759</v>
      </c>
      <c r="F49" s="293">
        <v>947.10602199227719</v>
      </c>
      <c r="G49" s="294">
        <v>1007.6288224214247</v>
      </c>
    </row>
    <row r="50" spans="1:7" x14ac:dyDescent="0.25">
      <c r="A50" s="292" t="s">
        <v>116</v>
      </c>
      <c r="B50" s="293">
        <v>560.43325047990209</v>
      </c>
      <c r="C50" s="293">
        <v>579.70119949494062</v>
      </c>
      <c r="D50" s="293">
        <v>678.40937543495795</v>
      </c>
      <c r="E50" s="293">
        <v>740.96700512785844</v>
      </c>
      <c r="F50" s="293">
        <v>793.87224637291638</v>
      </c>
      <c r="G50" s="294">
        <v>899.80117528997664</v>
      </c>
    </row>
    <row r="51" spans="1:7" x14ac:dyDescent="0.25">
      <c r="A51" s="292" t="s">
        <v>117</v>
      </c>
      <c r="B51" s="293">
        <v>456.24832579021358</v>
      </c>
      <c r="C51" s="293">
        <v>490.1539576949823</v>
      </c>
      <c r="D51" s="293">
        <v>591.83600312342287</v>
      </c>
      <c r="E51" s="293">
        <v>692.39122264220964</v>
      </c>
      <c r="F51" s="293">
        <v>757.17420782388206</v>
      </c>
      <c r="G51" s="294">
        <v>812.73454008239946</v>
      </c>
    </row>
    <row r="52" spans="1:7" x14ac:dyDescent="0.25">
      <c r="A52" s="292" t="s">
        <v>118</v>
      </c>
      <c r="B52" s="293">
        <v>277.94421011553516</v>
      </c>
      <c r="C52" s="293">
        <v>291.89047951608279</v>
      </c>
      <c r="D52" s="293">
        <v>409.84586770396123</v>
      </c>
      <c r="E52" s="293">
        <v>495.06912341740241</v>
      </c>
      <c r="F52" s="293">
        <v>579.86145640650489</v>
      </c>
      <c r="G52" s="294">
        <v>635.46137929966631</v>
      </c>
    </row>
    <row r="53" spans="1:7" x14ac:dyDescent="0.25">
      <c r="A53" s="292" t="s">
        <v>119</v>
      </c>
      <c r="B53" s="293">
        <v>206.62337628847925</v>
      </c>
      <c r="C53" s="293">
        <v>217.6255829901325</v>
      </c>
      <c r="D53" s="293">
        <v>278.39897044326216</v>
      </c>
      <c r="E53" s="293">
        <v>391.63178423155966</v>
      </c>
      <c r="F53" s="293">
        <v>474.51398297474117</v>
      </c>
      <c r="G53" s="294">
        <v>557.51234995464415</v>
      </c>
    </row>
    <row r="54" spans="1:7" x14ac:dyDescent="0.25">
      <c r="A54" s="292" t="s">
        <v>145</v>
      </c>
      <c r="B54" s="293">
        <v>234.1761378281623</v>
      </c>
      <c r="C54" s="293">
        <v>243.67273911569509</v>
      </c>
      <c r="D54" s="293">
        <v>301.18217337945208</v>
      </c>
      <c r="E54" s="293">
        <v>383.02383149145851</v>
      </c>
      <c r="F54" s="293">
        <v>522.11360670566967</v>
      </c>
      <c r="G54" s="294">
        <v>676.97686937600338</v>
      </c>
    </row>
    <row r="55" spans="1:7" x14ac:dyDescent="0.25">
      <c r="A55" s="292" t="s">
        <v>161</v>
      </c>
      <c r="B55" s="293">
        <v>3216.5259685365772</v>
      </c>
      <c r="C55" s="293">
        <v>3329.1471101758384</v>
      </c>
      <c r="D55" s="293">
        <v>3885.4813939695978</v>
      </c>
      <c r="E55" s="293">
        <v>4496.5129451177127</v>
      </c>
      <c r="F55" s="293">
        <v>5092.6024129413909</v>
      </c>
      <c r="G55" s="294">
        <v>5748.6383900380806</v>
      </c>
    </row>
    <row r="56" spans="1:7" x14ac:dyDescent="0.25">
      <c r="A56" s="141" t="s">
        <v>155</v>
      </c>
      <c r="B56" s="260"/>
      <c r="C56" s="260"/>
      <c r="D56" s="260"/>
      <c r="E56" s="260"/>
      <c r="F56" s="260"/>
      <c r="G56" s="261"/>
    </row>
    <row r="57" spans="1:7" x14ac:dyDescent="0.25">
      <c r="A57" s="292" t="s">
        <v>1</v>
      </c>
      <c r="B57" s="293">
        <v>11476.260012744384</v>
      </c>
      <c r="C57" s="293">
        <v>11486.868885197771</v>
      </c>
      <c r="D57" s="293">
        <v>11636.54642880356</v>
      </c>
      <c r="E57" s="293">
        <v>11862.816914007508</v>
      </c>
      <c r="F57" s="293">
        <v>12125.210433724864</v>
      </c>
      <c r="G57" s="294">
        <v>12336.749057771474</v>
      </c>
    </row>
    <row r="58" spans="1:7" x14ac:dyDescent="0.25">
      <c r="A58" s="292" t="s">
        <v>114</v>
      </c>
      <c r="B58" s="293">
        <v>3026.1790370220856</v>
      </c>
      <c r="C58" s="293">
        <v>2985.1461716268504</v>
      </c>
      <c r="D58" s="293">
        <v>2703.629647745197</v>
      </c>
      <c r="E58" s="293">
        <v>2574.7465998962971</v>
      </c>
      <c r="F58" s="293">
        <v>2598.292319406813</v>
      </c>
      <c r="G58" s="294">
        <v>2804.5272525365904</v>
      </c>
    </row>
    <row r="59" spans="1:7" x14ac:dyDescent="0.25">
      <c r="A59" s="292" t="s">
        <v>115</v>
      </c>
      <c r="B59" s="293">
        <v>3510.6317470152312</v>
      </c>
      <c r="C59" s="293">
        <v>3555.7043507611147</v>
      </c>
      <c r="D59" s="293">
        <v>3530.6534365304001</v>
      </c>
      <c r="E59" s="293">
        <v>3221.1639812333556</v>
      </c>
      <c r="F59" s="293">
        <v>3085.1380248216192</v>
      </c>
      <c r="G59" s="294">
        <v>3127.3090179270544</v>
      </c>
    </row>
    <row r="60" spans="1:7" x14ac:dyDescent="0.25">
      <c r="A60" s="292" t="s">
        <v>116</v>
      </c>
      <c r="B60" s="293">
        <v>3602.7457015307837</v>
      </c>
      <c r="C60" s="293">
        <v>3700.2015465482009</v>
      </c>
      <c r="D60" s="293">
        <v>4078.7164413803366</v>
      </c>
      <c r="E60" s="293">
        <v>4065.8648433163003</v>
      </c>
      <c r="F60" s="293">
        <v>3725.7296699366166</v>
      </c>
      <c r="G60" s="294">
        <v>3580.7545146668008</v>
      </c>
    </row>
    <row r="61" spans="1:7" x14ac:dyDescent="0.25">
      <c r="A61" s="292" t="s">
        <v>117</v>
      </c>
      <c r="B61" s="293">
        <v>3129.6647443059423</v>
      </c>
      <c r="C61" s="293">
        <v>3282.2151356174363</v>
      </c>
      <c r="D61" s="293">
        <v>3700.3668235504124</v>
      </c>
      <c r="E61" s="293">
        <v>4095.6784326517782</v>
      </c>
      <c r="F61" s="293">
        <v>4100.27277601489</v>
      </c>
      <c r="G61" s="294">
        <v>3775.616026753306</v>
      </c>
    </row>
    <row r="62" spans="1:7" x14ac:dyDescent="0.25">
      <c r="A62" s="292" t="s">
        <v>118</v>
      </c>
      <c r="B62" s="293">
        <v>2576.9281457418529</v>
      </c>
      <c r="C62" s="293">
        <v>2669.7909778477615</v>
      </c>
      <c r="D62" s="293">
        <v>3433.628030134244</v>
      </c>
      <c r="E62" s="293">
        <v>3884.9941531194718</v>
      </c>
      <c r="F62" s="293">
        <v>4313.544442480902</v>
      </c>
      <c r="G62" s="294">
        <v>4328.4202389269994</v>
      </c>
    </row>
    <row r="63" spans="1:7" x14ac:dyDescent="0.25">
      <c r="A63" s="292" t="s">
        <v>119</v>
      </c>
      <c r="B63" s="293">
        <v>2143.9327654980402</v>
      </c>
      <c r="C63" s="293">
        <v>2196.4505395592851</v>
      </c>
      <c r="D63" s="293">
        <v>2709.7188059364157</v>
      </c>
      <c r="E63" s="293">
        <v>3499.6713216207731</v>
      </c>
      <c r="F63" s="293">
        <v>3965.3847066400522</v>
      </c>
      <c r="G63" s="294">
        <v>4407.2468923866381</v>
      </c>
    </row>
    <row r="64" spans="1:7" x14ac:dyDescent="0.25">
      <c r="A64" s="292" t="s">
        <v>145</v>
      </c>
      <c r="B64" s="293">
        <v>4644.2321293280374</v>
      </c>
      <c r="C64" s="293">
        <v>4705.4779065249868</v>
      </c>
      <c r="D64" s="293">
        <v>5087.978587022536</v>
      </c>
      <c r="E64" s="293">
        <v>5951.6621728951013</v>
      </c>
      <c r="F64" s="293">
        <v>7472.1433712727967</v>
      </c>
      <c r="G64" s="294">
        <v>9023.4217717222127</v>
      </c>
    </row>
    <row r="65" spans="1:7" x14ac:dyDescent="0.25">
      <c r="A65" s="292" t="s">
        <v>161</v>
      </c>
      <c r="B65" s="293">
        <v>22634.314270441977</v>
      </c>
      <c r="C65" s="293">
        <v>23094.986628485636</v>
      </c>
      <c r="D65" s="293">
        <v>25244.691772299539</v>
      </c>
      <c r="E65" s="293">
        <v>27293.781504733081</v>
      </c>
      <c r="F65" s="293">
        <v>29260.505310573692</v>
      </c>
      <c r="G65" s="294">
        <v>31047.295714919601</v>
      </c>
    </row>
    <row r="66" spans="1:7" x14ac:dyDescent="0.25">
      <c r="A66" s="141" t="s">
        <v>231</v>
      </c>
      <c r="B66" s="260"/>
      <c r="C66" s="260"/>
      <c r="D66" s="260"/>
      <c r="E66" s="260"/>
      <c r="F66" s="260"/>
      <c r="G66" s="261"/>
    </row>
    <row r="67" spans="1:7" x14ac:dyDescent="0.25">
      <c r="A67" s="292" t="s">
        <v>1</v>
      </c>
      <c r="B67" s="293">
        <v>10858.42257310278</v>
      </c>
      <c r="C67" s="293">
        <v>10856.547404130693</v>
      </c>
      <c r="D67" s="293">
        <v>10915.510530831138</v>
      </c>
      <c r="E67" s="293">
        <v>11089.155088758729</v>
      </c>
      <c r="F67" s="293">
        <v>11369.58694743956</v>
      </c>
      <c r="G67" s="294">
        <v>11590.546528731093</v>
      </c>
    </row>
    <row r="68" spans="1:7" x14ac:dyDescent="0.25">
      <c r="A68" s="292" t="s">
        <v>114</v>
      </c>
      <c r="B68" s="293">
        <v>5033.4668633823794</v>
      </c>
      <c r="C68" s="293">
        <v>4966.0809989631343</v>
      </c>
      <c r="D68" s="293">
        <v>4512.1578045055094</v>
      </c>
      <c r="E68" s="293">
        <v>4309.3024214489242</v>
      </c>
      <c r="F68" s="293">
        <v>4352.6664326165683</v>
      </c>
      <c r="G68" s="294">
        <v>4701.959597931891</v>
      </c>
    </row>
    <row r="69" spans="1:7" x14ac:dyDescent="0.25">
      <c r="A69" s="292" t="s">
        <v>115</v>
      </c>
      <c r="B69" s="293">
        <v>6162.9820046444383</v>
      </c>
      <c r="C69" s="293">
        <v>6232.5785263069902</v>
      </c>
      <c r="D69" s="293">
        <v>6159.6248173971353</v>
      </c>
      <c r="E69" s="293">
        <v>5598.1359511997198</v>
      </c>
      <c r="F69" s="293">
        <v>5348.8009182641863</v>
      </c>
      <c r="G69" s="294">
        <v>5405.3824528243385</v>
      </c>
    </row>
    <row r="70" spans="1:7" x14ac:dyDescent="0.25">
      <c r="A70" s="292" t="s">
        <v>116</v>
      </c>
      <c r="B70" s="293">
        <v>5808.770471940662</v>
      </c>
      <c r="C70" s="293">
        <v>5959.9444862199043</v>
      </c>
      <c r="D70" s="293">
        <v>6528.0825440944336</v>
      </c>
      <c r="E70" s="293">
        <v>6487.1695228455119</v>
      </c>
      <c r="F70" s="293">
        <v>5932.461023904033</v>
      </c>
      <c r="G70" s="294">
        <v>5695.6110133451257</v>
      </c>
    </row>
    <row r="71" spans="1:7" x14ac:dyDescent="0.25">
      <c r="A71" s="292" t="s">
        <v>117</v>
      </c>
      <c r="B71" s="293">
        <v>5002.1736246776682</v>
      </c>
      <c r="C71" s="293">
        <v>5237.6775135737726</v>
      </c>
      <c r="D71" s="293">
        <v>5853.0505086778721</v>
      </c>
      <c r="E71" s="293">
        <v>6429.7923524569369</v>
      </c>
      <c r="F71" s="293">
        <v>6405.9296627202211</v>
      </c>
      <c r="G71" s="294">
        <v>5873.7074936609833</v>
      </c>
    </row>
    <row r="72" spans="1:7" x14ac:dyDescent="0.25">
      <c r="A72" s="292" t="s">
        <v>118</v>
      </c>
      <c r="B72" s="293">
        <v>3492.6307126387528</v>
      </c>
      <c r="C72" s="293">
        <v>3617.9984629431892</v>
      </c>
      <c r="D72" s="293">
        <v>4632.3029628417462</v>
      </c>
      <c r="E72" s="293">
        <v>5189.3391998717525</v>
      </c>
      <c r="F72" s="293">
        <v>5713.7146454956337</v>
      </c>
      <c r="G72" s="294">
        <v>5702.498993326707</v>
      </c>
    </row>
    <row r="73" spans="1:7" x14ac:dyDescent="0.25">
      <c r="A73" s="292" t="s">
        <v>119</v>
      </c>
      <c r="B73" s="293">
        <v>2328.2708429296222</v>
      </c>
      <c r="C73" s="293">
        <v>2384.2446689315948</v>
      </c>
      <c r="D73" s="293">
        <v>2944.3578132904872</v>
      </c>
      <c r="E73" s="293">
        <v>3790.9274202157276</v>
      </c>
      <c r="F73" s="293">
        <v>4267.2596262916959</v>
      </c>
      <c r="G73" s="294">
        <v>4716.5656764459318</v>
      </c>
    </row>
    <row r="74" spans="1:7" x14ac:dyDescent="0.25">
      <c r="A74" s="292" t="s">
        <v>145</v>
      </c>
      <c r="B74" s="293">
        <v>2198.6248026621474</v>
      </c>
      <c r="C74" s="293">
        <v>2227.5008816153922</v>
      </c>
      <c r="D74" s="293">
        <v>2408.8819609870975</v>
      </c>
      <c r="E74" s="293">
        <v>2819.4142837956715</v>
      </c>
      <c r="F74" s="293">
        <v>3539.9608762893581</v>
      </c>
      <c r="G74" s="294">
        <v>4271.6956238607772</v>
      </c>
    </row>
    <row r="75" spans="1:7" x14ac:dyDescent="0.25">
      <c r="A75" s="292" t="s">
        <v>161</v>
      </c>
      <c r="B75" s="293">
        <v>30026.919322875678</v>
      </c>
      <c r="C75" s="293">
        <v>30626.025538553979</v>
      </c>
      <c r="D75" s="293">
        <v>33038.458411794287</v>
      </c>
      <c r="E75" s="293">
        <v>34624.081151834245</v>
      </c>
      <c r="F75" s="293">
        <v>35560.793185581701</v>
      </c>
      <c r="G75" s="294">
        <v>36367.420851395749</v>
      </c>
    </row>
    <row r="76" spans="1:7" x14ac:dyDescent="0.25">
      <c r="A76" s="141" t="s">
        <v>156</v>
      </c>
      <c r="B76" s="260"/>
      <c r="C76" s="260"/>
      <c r="D76" s="260"/>
      <c r="E76" s="260"/>
      <c r="F76" s="260"/>
      <c r="G76" s="261"/>
    </row>
    <row r="77" spans="1:7" x14ac:dyDescent="0.25">
      <c r="A77" s="292" t="s">
        <v>1</v>
      </c>
      <c r="B77" s="293">
        <v>36879.954300821701</v>
      </c>
      <c r="C77" s="293">
        <v>36993.496169992497</v>
      </c>
      <c r="D77" s="293">
        <v>38093.570190820232</v>
      </c>
      <c r="E77" s="293">
        <v>39540.735294809769</v>
      </c>
      <c r="F77" s="293">
        <v>40935.120669479038</v>
      </c>
      <c r="G77" s="294">
        <v>41957.131068757553</v>
      </c>
    </row>
    <row r="78" spans="1:7" x14ac:dyDescent="0.25">
      <c r="A78" s="292" t="s">
        <v>114</v>
      </c>
      <c r="B78" s="293">
        <v>4382.1413803390042</v>
      </c>
      <c r="C78" s="293">
        <v>4342.0885116986265</v>
      </c>
      <c r="D78" s="293">
        <v>4041.7938134358919</v>
      </c>
      <c r="E78" s="293">
        <v>3950.8766255705468</v>
      </c>
      <c r="F78" s="293">
        <v>4037.4647097483789</v>
      </c>
      <c r="G78" s="294">
        <v>4376.4452907955147</v>
      </c>
    </row>
    <row r="79" spans="1:7" x14ac:dyDescent="0.25">
      <c r="A79" s="292" t="s">
        <v>115</v>
      </c>
      <c r="B79" s="293">
        <v>2738.304104474485</v>
      </c>
      <c r="C79" s="293">
        <v>2783.0092524227853</v>
      </c>
      <c r="D79" s="293">
        <v>2821.5641183424445</v>
      </c>
      <c r="E79" s="293">
        <v>2649.764927068135</v>
      </c>
      <c r="F79" s="293">
        <v>2609.3380454371199</v>
      </c>
      <c r="G79" s="294">
        <v>2679.7471981803628</v>
      </c>
    </row>
    <row r="80" spans="1:7" x14ac:dyDescent="0.25">
      <c r="A80" s="292" t="s">
        <v>116</v>
      </c>
      <c r="B80" s="293">
        <v>1628.1422246971615</v>
      </c>
      <c r="C80" s="293">
        <v>1678.2112526695616</v>
      </c>
      <c r="D80" s="293">
        <v>1890.9837669531908</v>
      </c>
      <c r="E80" s="293">
        <v>1938.2507496466824</v>
      </c>
      <c r="F80" s="293">
        <v>1843.644516546432</v>
      </c>
      <c r="G80" s="294">
        <v>1834.7375158855207</v>
      </c>
    </row>
    <row r="81" spans="1:8" x14ac:dyDescent="0.25">
      <c r="A81" s="292" t="s">
        <v>117</v>
      </c>
      <c r="B81" s="293">
        <v>1109.8416812242372</v>
      </c>
      <c r="C81" s="293">
        <v>1167.5672758210487</v>
      </c>
      <c r="D81" s="293">
        <v>1340.5079459890742</v>
      </c>
      <c r="E81" s="293">
        <v>1511.9868341809679</v>
      </c>
      <c r="F81" s="293">
        <v>1549.1010397121738</v>
      </c>
      <c r="G81" s="294">
        <v>1470.2786235710066</v>
      </c>
    </row>
    <row r="82" spans="1:8" x14ac:dyDescent="0.25">
      <c r="A82" s="292" t="s">
        <v>118</v>
      </c>
      <c r="B82" s="293">
        <v>735.86155504352325</v>
      </c>
      <c r="C82" s="293">
        <v>763.57970008060715</v>
      </c>
      <c r="D82" s="293">
        <v>991.62241748487111</v>
      </c>
      <c r="E82" s="293">
        <v>1142.2750138575659</v>
      </c>
      <c r="F82" s="293">
        <v>1293.1402712167633</v>
      </c>
      <c r="G82" s="294">
        <v>1329.734616573086</v>
      </c>
    </row>
    <row r="83" spans="1:8" x14ac:dyDescent="0.25">
      <c r="A83" s="292" t="s">
        <v>119</v>
      </c>
      <c r="B83" s="293">
        <v>513.06647526891345</v>
      </c>
      <c r="C83" s="293">
        <v>526.79645694309943</v>
      </c>
      <c r="D83" s="293">
        <v>650.57308334209768</v>
      </c>
      <c r="E83" s="293">
        <v>849.17625863401315</v>
      </c>
      <c r="F83" s="293">
        <v>980.48622227888552</v>
      </c>
      <c r="G83" s="294">
        <v>1110.6085450808221</v>
      </c>
    </row>
    <row r="84" spans="1:8" x14ac:dyDescent="0.25">
      <c r="A84" s="292" t="s">
        <v>145</v>
      </c>
      <c r="B84" s="293">
        <v>918.90312548226404</v>
      </c>
      <c r="C84" s="293">
        <v>935.02563333375565</v>
      </c>
      <c r="D84" s="293">
        <v>1028.9807389446842</v>
      </c>
      <c r="E84" s="293">
        <v>1213.4152183417846</v>
      </c>
      <c r="F84" s="293">
        <v>1536.7612825567724</v>
      </c>
      <c r="G84" s="294">
        <v>1883.81043008855</v>
      </c>
    </row>
    <row r="85" spans="1:8" x14ac:dyDescent="0.25">
      <c r="A85" s="292" t="s">
        <v>161</v>
      </c>
      <c r="B85" s="293">
        <v>12026.260546529587</v>
      </c>
      <c r="C85" s="293">
        <v>12196.278082969486</v>
      </c>
      <c r="D85" s="293">
        <v>12766.025884492252</v>
      </c>
      <c r="E85" s="293">
        <v>13255.745627299695</v>
      </c>
      <c r="F85" s="293">
        <v>13849.936087496526</v>
      </c>
      <c r="G85" s="294">
        <v>14685.362220174862</v>
      </c>
      <c r="H85" s="295"/>
    </row>
    <row r="86" spans="1:8" x14ac:dyDescent="0.25">
      <c r="A86" s="141" t="s">
        <v>232</v>
      </c>
      <c r="B86" s="260"/>
      <c r="C86" s="260"/>
      <c r="D86" s="260"/>
      <c r="E86" s="260"/>
      <c r="F86" s="260"/>
      <c r="G86" s="261"/>
      <c r="H86" s="295"/>
    </row>
    <row r="87" spans="1:8" x14ac:dyDescent="0.25">
      <c r="A87" s="292" t="s">
        <v>1</v>
      </c>
      <c r="B87" s="293">
        <v>30450.545566415065</v>
      </c>
      <c r="C87" s="293">
        <v>30412.356332431256</v>
      </c>
      <c r="D87" s="293">
        <v>30771.933417729571</v>
      </c>
      <c r="E87" s="293">
        <v>31701.91234243448</v>
      </c>
      <c r="F87" s="293">
        <v>32706.704513574878</v>
      </c>
      <c r="G87" s="294">
        <v>33232.485230924751</v>
      </c>
    </row>
    <row r="88" spans="1:8" x14ac:dyDescent="0.25">
      <c r="A88" s="292" t="s">
        <v>114</v>
      </c>
      <c r="B88" s="293">
        <v>8981.0280468722849</v>
      </c>
      <c r="C88" s="293">
        <v>8855.445128883659</v>
      </c>
      <c r="D88" s="293">
        <v>8018.5530916347298</v>
      </c>
      <c r="E88" s="293">
        <v>7635.6121457215995</v>
      </c>
      <c r="F88" s="293">
        <v>7699.0113978213594</v>
      </c>
      <c r="G88" s="294">
        <v>8315.7668532720527</v>
      </c>
    </row>
    <row r="89" spans="1:8" x14ac:dyDescent="0.25">
      <c r="A89" s="292" t="s">
        <v>115</v>
      </c>
      <c r="B89" s="293">
        <v>9371.379751360706</v>
      </c>
      <c r="C89" s="293">
        <v>9476.0320148220926</v>
      </c>
      <c r="D89" s="293">
        <v>9352.7077127986613</v>
      </c>
      <c r="E89" s="293">
        <v>8480.1819236113497</v>
      </c>
      <c r="F89" s="293">
        <v>8081.1599242462507</v>
      </c>
      <c r="G89" s="294">
        <v>8158.7258296853379</v>
      </c>
    </row>
    <row r="90" spans="1:8" x14ac:dyDescent="0.25">
      <c r="A90" s="292" t="s">
        <v>116</v>
      </c>
      <c r="B90" s="293">
        <v>8669.5284698661999</v>
      </c>
      <c r="C90" s="293">
        <v>8893.8313175852927</v>
      </c>
      <c r="D90" s="293">
        <v>9733.3211584706078</v>
      </c>
      <c r="E90" s="293">
        <v>9648.3253962246818</v>
      </c>
      <c r="F90" s="293">
        <v>8788.1787662917213</v>
      </c>
      <c r="G90" s="294">
        <v>8403.3863682599786</v>
      </c>
    </row>
    <row r="91" spans="1:8" x14ac:dyDescent="0.25">
      <c r="A91" s="292" t="s">
        <v>117</v>
      </c>
      <c r="B91" s="293">
        <v>7447.3457841670943</v>
      </c>
      <c r="C91" s="293">
        <v>7797.3770125853307</v>
      </c>
      <c r="D91" s="293">
        <v>8707.3587530985533</v>
      </c>
      <c r="E91" s="293">
        <v>9551.9994771210095</v>
      </c>
      <c r="F91" s="293">
        <v>9485.0885111552034</v>
      </c>
      <c r="G91" s="294">
        <v>8651.6629167468072</v>
      </c>
    </row>
    <row r="92" spans="1:8" x14ac:dyDescent="0.25">
      <c r="A92" s="292" t="s">
        <v>118</v>
      </c>
      <c r="B92" s="293">
        <v>5652.6110963393839</v>
      </c>
      <c r="C92" s="293">
        <v>5854.3030950495768</v>
      </c>
      <c r="D92" s="293">
        <v>7495.0008699224572</v>
      </c>
      <c r="E92" s="293">
        <v>8403.5406392020159</v>
      </c>
      <c r="F92" s="293">
        <v>9253.8508025988031</v>
      </c>
      <c r="G92" s="294">
        <v>9218.3341120807836</v>
      </c>
    </row>
    <row r="93" spans="1:8" x14ac:dyDescent="0.25">
      <c r="A93" s="292" t="s">
        <v>119</v>
      </c>
      <c r="B93" s="293">
        <v>4064.617268855744</v>
      </c>
      <c r="C93" s="293">
        <v>4161.7481835757781</v>
      </c>
      <c r="D93" s="293">
        <v>5135.2521288715907</v>
      </c>
      <c r="E93" s="293">
        <v>6611.1844299373979</v>
      </c>
      <c r="F93" s="293">
        <v>7445.2615919414857</v>
      </c>
      <c r="G93" s="294">
        <v>8226.8751746784492</v>
      </c>
    </row>
    <row r="94" spans="1:8" x14ac:dyDescent="0.25">
      <c r="A94" s="292" t="s">
        <v>145</v>
      </c>
      <c r="B94" s="293">
        <v>6049.6168580470921</v>
      </c>
      <c r="C94" s="293">
        <v>6127.8813328992856</v>
      </c>
      <c r="D94" s="293">
        <v>6619.0552988646059</v>
      </c>
      <c r="E94" s="293">
        <v>7738.8860809492799</v>
      </c>
      <c r="F94" s="293">
        <v>9710.0292394911685</v>
      </c>
      <c r="G94" s="294">
        <v>11714.211710706461</v>
      </c>
    </row>
    <row r="95" spans="1:8" x14ac:dyDescent="0.25">
      <c r="A95" s="292" t="s">
        <v>161</v>
      </c>
      <c r="B95" s="293">
        <v>50236.127275508501</v>
      </c>
      <c r="C95" s="293">
        <v>51166.618085401016</v>
      </c>
      <c r="D95" s="293">
        <v>55061.24901366121</v>
      </c>
      <c r="E95" s="293">
        <v>58069.730092767328</v>
      </c>
      <c r="F95" s="293">
        <v>60462.580233545988</v>
      </c>
      <c r="G95" s="294">
        <v>62688.962965429855</v>
      </c>
    </row>
    <row r="96" spans="1:8" x14ac:dyDescent="0.25">
      <c r="A96" s="141" t="s">
        <v>157</v>
      </c>
      <c r="B96" s="260"/>
      <c r="C96" s="260"/>
      <c r="D96" s="260"/>
      <c r="E96" s="260"/>
      <c r="F96" s="260"/>
      <c r="G96" s="261"/>
    </row>
    <row r="97" spans="1:7" x14ac:dyDescent="0.25">
      <c r="A97" s="292" t="s">
        <v>1</v>
      </c>
      <c r="B97" s="293">
        <v>28764.091320253796</v>
      </c>
      <c r="C97" s="293">
        <v>28924.556126889707</v>
      </c>
      <c r="D97" s="293">
        <v>29873.693732725351</v>
      </c>
      <c r="E97" s="293">
        <v>30790.794955141522</v>
      </c>
      <c r="F97" s="293">
        <v>31723.213537068583</v>
      </c>
      <c r="G97" s="294">
        <v>32651.941424335368</v>
      </c>
    </row>
    <row r="98" spans="1:7" x14ac:dyDescent="0.25">
      <c r="A98" s="292" t="s">
        <v>114</v>
      </c>
      <c r="B98" s="293">
        <v>3460.7592338711861</v>
      </c>
      <c r="C98" s="293">
        <v>3437.8705534049536</v>
      </c>
      <c r="D98" s="293">
        <v>3239.0281740518681</v>
      </c>
      <c r="E98" s="293">
        <v>3199.3135011941681</v>
      </c>
      <c r="F98" s="293">
        <v>3289.4120639504008</v>
      </c>
      <c r="G98" s="294">
        <v>3567.1652879919429</v>
      </c>
    </row>
    <row r="99" spans="1:7" x14ac:dyDescent="0.25">
      <c r="A99" s="292" t="s">
        <v>115</v>
      </c>
      <c r="B99" s="293">
        <v>3040.538104773449</v>
      </c>
      <c r="C99" s="293">
        <v>3095.2601146687975</v>
      </c>
      <c r="D99" s="293">
        <v>3159.13465947132</v>
      </c>
      <c r="E99" s="293">
        <v>2988.8829358898588</v>
      </c>
      <c r="F99" s="293">
        <v>2962.1170642766738</v>
      </c>
      <c r="G99" s="294">
        <v>3053.7128392464183</v>
      </c>
    </row>
    <row r="100" spans="1:7" x14ac:dyDescent="0.25">
      <c r="A100" s="292" t="s">
        <v>116</v>
      </c>
      <c r="B100" s="293">
        <v>2370.1299283024073</v>
      </c>
      <c r="C100" s="293">
        <v>2444.5259678523726</v>
      </c>
      <c r="D100" s="293">
        <v>2764.4615939573532</v>
      </c>
      <c r="E100" s="293">
        <v>2842.9597195838114</v>
      </c>
      <c r="F100" s="293">
        <v>2713.6564440953603</v>
      </c>
      <c r="G100" s="294">
        <v>2707.7166756374686</v>
      </c>
    </row>
    <row r="101" spans="1:7" x14ac:dyDescent="0.25">
      <c r="A101" s="292" t="s">
        <v>117</v>
      </c>
      <c r="B101" s="293">
        <v>1794.3342660407536</v>
      </c>
      <c r="C101" s="293">
        <v>1890.0829124269262</v>
      </c>
      <c r="D101" s="293">
        <v>2186.5665251188057</v>
      </c>
      <c r="E101" s="293">
        <v>2485.4581421686748</v>
      </c>
      <c r="F101" s="293">
        <v>2570.2149672920818</v>
      </c>
      <c r="G101" s="294">
        <v>2467.9392272384894</v>
      </c>
    </row>
    <row r="102" spans="1:7" x14ac:dyDescent="0.25">
      <c r="A102" s="292" t="s">
        <v>118</v>
      </c>
      <c r="B102" s="293">
        <v>1152.8093170847446</v>
      </c>
      <c r="C102" s="293">
        <v>1197.0660458219807</v>
      </c>
      <c r="D102" s="293">
        <v>1562.5525405384042</v>
      </c>
      <c r="E102" s="293">
        <v>1813.0677276467736</v>
      </c>
      <c r="F102" s="293">
        <v>2066.5485565944969</v>
      </c>
      <c r="G102" s="294">
        <v>2142.3197367460093</v>
      </c>
    </row>
    <row r="103" spans="1:7" x14ac:dyDescent="0.25">
      <c r="A103" s="292" t="s">
        <v>119</v>
      </c>
      <c r="B103" s="293">
        <v>920.65281484083187</v>
      </c>
      <c r="C103" s="293">
        <v>945.74348185820088</v>
      </c>
      <c r="D103" s="293">
        <v>1169.3975736974096</v>
      </c>
      <c r="E103" s="293">
        <v>1528.5905705331154</v>
      </c>
      <c r="F103" s="293">
        <v>1767.868963269148</v>
      </c>
      <c r="G103" s="294">
        <v>2007.5459392349424</v>
      </c>
    </row>
    <row r="104" spans="1:7" x14ac:dyDescent="0.25">
      <c r="A104" s="292" t="s">
        <v>145</v>
      </c>
      <c r="B104" s="293">
        <v>1712.1431994253564</v>
      </c>
      <c r="C104" s="293">
        <v>1740.1230885748491</v>
      </c>
      <c r="D104" s="293">
        <v>1906.7859880897115</v>
      </c>
      <c r="E104" s="293">
        <v>2245.6055940832766</v>
      </c>
      <c r="F104" s="293">
        <v>2838.8362906277589</v>
      </c>
      <c r="G104" s="294">
        <v>3464.7161149650792</v>
      </c>
    </row>
    <row r="105" spans="1:7" ht="15.75" thickBot="1" x14ac:dyDescent="0.3">
      <c r="A105" s="300" t="s">
        <v>161</v>
      </c>
      <c r="B105" s="301">
        <v>14451.366864338748</v>
      </c>
      <c r="C105" s="301">
        <v>14750.672164608084</v>
      </c>
      <c r="D105" s="301">
        <v>15987.927054924876</v>
      </c>
      <c r="E105" s="301">
        <v>17103.878191099688</v>
      </c>
      <c r="F105" s="301">
        <v>18208.654350105928</v>
      </c>
      <c r="G105" s="302">
        <v>19411.115821060361</v>
      </c>
    </row>
    <row r="107" spans="1:7" x14ac:dyDescent="0.25">
      <c r="A107" s="20" t="s">
        <v>149</v>
      </c>
    </row>
    <row r="108" spans="1:7" x14ac:dyDescent="0.25">
      <c r="A108" s="20" t="s">
        <v>158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election activeCell="L17" sqref="L17"/>
    </sheetView>
  </sheetViews>
  <sheetFormatPr defaultRowHeight="15" x14ac:dyDescent="0.25"/>
  <cols>
    <col min="1" max="1" width="31.7109375" style="16" customWidth="1"/>
    <col min="2" max="2" width="8" style="16" bestFit="1" customWidth="1"/>
    <col min="3" max="5" width="7" style="16" bestFit="1" customWidth="1"/>
    <col min="6" max="8" width="8" style="16" bestFit="1" customWidth="1"/>
    <col min="9" max="9" width="7" style="16" bestFit="1" customWidth="1"/>
    <col min="10" max="10" width="9" style="16" bestFit="1" customWidth="1"/>
    <col min="11" max="11" width="13.140625" style="16" customWidth="1"/>
    <col min="12" max="12" width="11.5703125" style="16" bestFit="1" customWidth="1"/>
    <col min="13" max="16384" width="9.140625" style="16"/>
  </cols>
  <sheetData>
    <row r="1" spans="1:12" ht="15.75" x14ac:dyDescent="0.25">
      <c r="A1" s="217" t="s">
        <v>207</v>
      </c>
    </row>
    <row r="3" spans="1:12" ht="15.75" thickBot="1" x14ac:dyDescent="0.3">
      <c r="A3" s="78" t="s">
        <v>46</v>
      </c>
      <c r="B3" s="78"/>
      <c r="C3" s="78"/>
      <c r="D3" s="78"/>
      <c r="E3" s="78"/>
      <c r="F3" s="78"/>
      <c r="G3" s="78"/>
      <c r="H3" s="78"/>
      <c r="I3" s="78"/>
      <c r="J3" s="78"/>
    </row>
    <row r="4" spans="1:12" x14ac:dyDescent="0.25">
      <c r="A4" s="377"/>
      <c r="B4" s="374" t="s">
        <v>44</v>
      </c>
      <c r="C4" s="374"/>
      <c r="D4" s="374"/>
      <c r="E4" s="374"/>
      <c r="F4" s="374" t="s">
        <v>45</v>
      </c>
      <c r="G4" s="374"/>
      <c r="H4" s="374"/>
      <c r="I4" s="374"/>
      <c r="J4" s="375" t="s">
        <v>4</v>
      </c>
      <c r="K4" s="213"/>
    </row>
    <row r="5" spans="1:12" ht="34.5" customHeight="1" thickBot="1" x14ac:dyDescent="0.3">
      <c r="A5" s="378"/>
      <c r="B5" s="6" t="s">
        <v>1</v>
      </c>
      <c r="C5" s="7" t="s">
        <v>2</v>
      </c>
      <c r="D5" s="7" t="s">
        <v>3</v>
      </c>
      <c r="E5" s="6" t="s">
        <v>47</v>
      </c>
      <c r="F5" s="6" t="s">
        <v>1</v>
      </c>
      <c r="G5" s="7" t="s">
        <v>2</v>
      </c>
      <c r="H5" s="7" t="s">
        <v>3</v>
      </c>
      <c r="I5" s="6" t="s">
        <v>47</v>
      </c>
      <c r="J5" s="376"/>
      <c r="K5" s="59"/>
      <c r="L5" s="59"/>
    </row>
    <row r="6" spans="1:12" ht="15.75" thickTop="1" x14ac:dyDescent="0.25">
      <c r="A6" s="108" t="s">
        <v>0</v>
      </c>
      <c r="B6" s="104">
        <f>26432384/(1000)</f>
        <v>26432.383999999998</v>
      </c>
      <c r="C6" s="104">
        <f>7618954/(1000)</f>
        <v>7618.9539999999997</v>
      </c>
      <c r="D6" s="104">
        <f>3208528/(1000)</f>
        <v>3208.5279999999998</v>
      </c>
      <c r="E6" s="104">
        <f>1607293/(1000)</f>
        <v>1607.2929999999999</v>
      </c>
      <c r="F6" s="104">
        <f>30256343/(1000)</f>
        <v>30256.343000000001</v>
      </c>
      <c r="G6" s="104">
        <f>25650781/(1000)</f>
        <v>25650.780999999999</v>
      </c>
      <c r="H6" s="104">
        <f>14671559/(1000)</f>
        <v>14671.558999999999</v>
      </c>
      <c r="I6" s="104">
        <f>5629950/(1000)</f>
        <v>5629.95</v>
      </c>
      <c r="J6" s="109">
        <f>(SUM(B6:I6))</f>
        <v>115075.79199999999</v>
      </c>
    </row>
    <row r="7" spans="1:12" x14ac:dyDescent="0.25">
      <c r="A7" s="110" t="s">
        <v>5</v>
      </c>
      <c r="B7" s="106"/>
      <c r="C7" s="106"/>
      <c r="D7" s="106"/>
      <c r="E7" s="106"/>
      <c r="F7" s="106"/>
      <c r="G7" s="106"/>
      <c r="H7" s="106"/>
      <c r="I7" s="106"/>
      <c r="J7" s="111"/>
    </row>
    <row r="8" spans="1:12" x14ac:dyDescent="0.25">
      <c r="A8" s="112" t="s">
        <v>32</v>
      </c>
      <c r="B8" s="105">
        <f>7721564/(1000)</f>
        <v>7721.5640000000003</v>
      </c>
      <c r="C8" s="105">
        <f>2380894/(1000)</f>
        <v>2380.8939999999998</v>
      </c>
      <c r="D8" s="105">
        <f>745886/(1000)</f>
        <v>745.88599999999997</v>
      </c>
      <c r="E8" s="105">
        <f>270361/(1000)</f>
        <v>270.36099999999999</v>
      </c>
      <c r="F8" s="105">
        <f>24880621/(1000)</f>
        <v>24880.620999999999</v>
      </c>
      <c r="G8" s="105">
        <f>21494121/(1000)</f>
        <v>21494.120999999999</v>
      </c>
      <c r="H8" s="105">
        <f>11843006/(1000)</f>
        <v>11843.005999999999</v>
      </c>
      <c r="I8" s="105">
        <f>4546952/(1000)</f>
        <v>4546.9520000000002</v>
      </c>
      <c r="J8" s="113">
        <f t="shared" ref="J8:J37" si="0">(SUM(B8:I8))</f>
        <v>73883.404999999999</v>
      </c>
      <c r="K8" s="303"/>
      <c r="L8" s="303"/>
    </row>
    <row r="9" spans="1:12" x14ac:dyDescent="0.25">
      <c r="A9" s="114" t="s">
        <v>33</v>
      </c>
      <c r="B9" s="4">
        <f>1840736/(1000)</f>
        <v>1840.7360000000001</v>
      </c>
      <c r="C9" s="4">
        <f>486373/(1000)</f>
        <v>486.37299999999999</v>
      </c>
      <c r="D9" s="4">
        <f>219406/(1000)</f>
        <v>219.40600000000001</v>
      </c>
      <c r="E9" s="4">
        <f>108286/(1000)</f>
        <v>108.286</v>
      </c>
      <c r="F9" s="4">
        <f>1683328/(1000)</f>
        <v>1683.328</v>
      </c>
      <c r="G9" s="4">
        <f>1315119/(1000)</f>
        <v>1315.1189999999999</v>
      </c>
      <c r="H9" s="4">
        <f>791108/(1000)</f>
        <v>791.10799999999995</v>
      </c>
      <c r="I9" s="4">
        <f>311838/(1000)</f>
        <v>311.83800000000002</v>
      </c>
      <c r="J9" s="115">
        <f t="shared" si="0"/>
        <v>6756.1939999999995</v>
      </c>
      <c r="K9" s="303"/>
      <c r="L9" s="303"/>
    </row>
    <row r="10" spans="1:12" x14ac:dyDescent="0.25">
      <c r="A10" s="114" t="s">
        <v>35</v>
      </c>
      <c r="B10" s="4">
        <f>5281627/(1000)</f>
        <v>5281.6270000000004</v>
      </c>
      <c r="C10" s="4">
        <f>1413357/(1000)</f>
        <v>1413.357</v>
      </c>
      <c r="D10" s="4">
        <f>614006/(1000)</f>
        <v>614.00599999999997</v>
      </c>
      <c r="E10" s="4">
        <f>220301/(1000)</f>
        <v>220.30099999999999</v>
      </c>
      <c r="F10" s="4">
        <f>563368/(1000)</f>
        <v>563.36800000000005</v>
      </c>
      <c r="G10" s="4">
        <f>428759/(1000)</f>
        <v>428.75900000000001</v>
      </c>
      <c r="H10" s="4">
        <f>293295/(1000)</f>
        <v>293.29500000000002</v>
      </c>
      <c r="I10" s="4">
        <f>134126/(1000)</f>
        <v>134.126</v>
      </c>
      <c r="J10" s="115">
        <f t="shared" si="0"/>
        <v>8948.8390000000018</v>
      </c>
      <c r="K10" s="303"/>
      <c r="L10" s="303"/>
    </row>
    <row r="11" spans="1:12" x14ac:dyDescent="0.25">
      <c r="A11" s="114" t="s">
        <v>36</v>
      </c>
      <c r="B11" s="4">
        <f>3423357/(1000)</f>
        <v>3423.357</v>
      </c>
      <c r="C11" s="4">
        <f>929495/(1000)</f>
        <v>929.495</v>
      </c>
      <c r="D11" s="4">
        <f>332680/(1000)</f>
        <v>332.68</v>
      </c>
      <c r="E11" s="4">
        <f>117818/(1000)</f>
        <v>117.818</v>
      </c>
      <c r="F11" s="4">
        <f>267621/(1000)</f>
        <v>267.62099999999998</v>
      </c>
      <c r="G11" s="4">
        <f>149171/(1000)</f>
        <v>149.17099999999999</v>
      </c>
      <c r="H11" s="4">
        <f>117508/(1000)</f>
        <v>117.508</v>
      </c>
      <c r="I11" s="4">
        <f>51966/(1000)</f>
        <v>51.966000000000001</v>
      </c>
      <c r="J11" s="115">
        <f t="shared" si="0"/>
        <v>5389.6160000000009</v>
      </c>
      <c r="K11" s="303"/>
      <c r="L11" s="303"/>
    </row>
    <row r="12" spans="1:12" x14ac:dyDescent="0.25">
      <c r="A12" s="114" t="s">
        <v>37</v>
      </c>
      <c r="B12" s="4">
        <f>7167417/(1000)</f>
        <v>7167.4170000000004</v>
      </c>
      <c r="C12" s="4">
        <f>2085332/(1000)</f>
        <v>2085.3319999999999</v>
      </c>
      <c r="D12" s="4">
        <f>1156896/(1000)</f>
        <v>1156.896</v>
      </c>
      <c r="E12" s="4">
        <f>845381/(1000)</f>
        <v>845.38099999999997</v>
      </c>
      <c r="F12" s="4">
        <f>644688/(1000)</f>
        <v>644.68799999999999</v>
      </c>
      <c r="G12" s="4">
        <f>440557/(1000)</f>
        <v>440.55700000000002</v>
      </c>
      <c r="H12" s="4">
        <f>341362/(1000)</f>
        <v>341.36200000000002</v>
      </c>
      <c r="I12" s="4">
        <f>246910/(1000)</f>
        <v>246.91</v>
      </c>
      <c r="J12" s="115">
        <f t="shared" si="0"/>
        <v>12928.543</v>
      </c>
      <c r="K12" s="303"/>
      <c r="L12" s="303"/>
    </row>
    <row r="13" spans="1:12" x14ac:dyDescent="0.25">
      <c r="A13" s="116" t="s">
        <v>6</v>
      </c>
      <c r="B13" s="107">
        <f>996039/(1000)</f>
        <v>996.03899999999999</v>
      </c>
      <c r="C13" s="107">
        <f>323503/(1000)</f>
        <v>323.50299999999999</v>
      </c>
      <c r="D13" s="107">
        <f>139655/(1000)</f>
        <v>139.655</v>
      </c>
      <c r="E13" s="107">
        <f>45146/(1000)</f>
        <v>45.146000000000001</v>
      </c>
      <c r="F13" s="107">
        <f>2216716/(1000)</f>
        <v>2216.7159999999999</v>
      </c>
      <c r="G13" s="107">
        <f>1823054/(1000)</f>
        <v>1823.0540000000001</v>
      </c>
      <c r="H13" s="107">
        <f>1285280/(1000)</f>
        <v>1285.28</v>
      </c>
      <c r="I13" s="107">
        <f>338159/(1000)</f>
        <v>338.15899999999999</v>
      </c>
      <c r="J13" s="117">
        <f t="shared" si="0"/>
        <v>7167.5519999999988</v>
      </c>
      <c r="K13" s="303"/>
      <c r="L13" s="303"/>
    </row>
    <row r="14" spans="1:12" x14ac:dyDescent="0.25">
      <c r="A14" s="110" t="s">
        <v>38</v>
      </c>
      <c r="B14" s="106"/>
      <c r="C14" s="106"/>
      <c r="D14" s="106"/>
      <c r="E14" s="106"/>
      <c r="F14" s="106"/>
      <c r="G14" s="106"/>
      <c r="H14" s="106"/>
      <c r="I14" s="106"/>
      <c r="J14" s="111"/>
    </row>
    <row r="15" spans="1:12" x14ac:dyDescent="0.25">
      <c r="A15" s="112" t="s">
        <v>43</v>
      </c>
      <c r="B15" s="105">
        <f>4866107/(1000)</f>
        <v>4866.107</v>
      </c>
      <c r="C15" s="105">
        <f>1563899/(1000)</f>
        <v>1563.8989999999999</v>
      </c>
      <c r="D15" s="105">
        <f>539155/(1000)</f>
        <v>539.15499999999997</v>
      </c>
      <c r="E15" s="105">
        <f>184659/(1000)</f>
        <v>184.65899999999999</v>
      </c>
      <c r="F15" s="105">
        <f>3579934/(1000)</f>
        <v>3579.9340000000002</v>
      </c>
      <c r="G15" s="105">
        <f>3477395/(1000)</f>
        <v>3477.395</v>
      </c>
      <c r="H15" s="105">
        <f>1874562/(1000)</f>
        <v>1874.5619999999999</v>
      </c>
      <c r="I15" s="105">
        <f>850403/(1000)</f>
        <v>850.40300000000002</v>
      </c>
      <c r="J15" s="113">
        <f t="shared" si="0"/>
        <v>16936.113999999998</v>
      </c>
      <c r="K15" s="303"/>
      <c r="L15" s="303"/>
    </row>
    <row r="16" spans="1:12" x14ac:dyDescent="0.25">
      <c r="A16" s="114" t="s">
        <v>7</v>
      </c>
      <c r="B16" s="4">
        <f>3892067/(1000)</f>
        <v>3892.067</v>
      </c>
      <c r="C16" s="4">
        <f>1257533/(1000)</f>
        <v>1257.5329999999999</v>
      </c>
      <c r="D16" s="4">
        <f>498972/(1000)</f>
        <v>498.97199999999998</v>
      </c>
      <c r="E16" s="4">
        <f>175635/(1000)</f>
        <v>175.63499999999999</v>
      </c>
      <c r="F16" s="4">
        <f>4638079/(1000)</f>
        <v>4638.0789999999997</v>
      </c>
      <c r="G16" s="4">
        <f>3978010/(1000)</f>
        <v>3978.01</v>
      </c>
      <c r="H16" s="4">
        <f>2549768/(1000)</f>
        <v>2549.768</v>
      </c>
      <c r="I16" s="4">
        <f>1578084/(1000)</f>
        <v>1578.0840000000001</v>
      </c>
      <c r="J16" s="115">
        <f t="shared" si="0"/>
        <v>18568.147999999997</v>
      </c>
      <c r="K16" s="303"/>
      <c r="L16" s="303"/>
    </row>
    <row r="17" spans="1:12" x14ac:dyDescent="0.25">
      <c r="A17" s="114" t="s">
        <v>8</v>
      </c>
      <c r="B17" s="4">
        <f>8863435/(1000)</f>
        <v>8863.4349999999995</v>
      </c>
      <c r="C17" s="4">
        <f>2760069/(1000)</f>
        <v>2760.069</v>
      </c>
      <c r="D17" s="4">
        <f>1170056/(1000)</f>
        <v>1170.056</v>
      </c>
      <c r="E17" s="4">
        <f>566548/(1000)</f>
        <v>566.548</v>
      </c>
      <c r="F17" s="4">
        <f>7085152/(1000)</f>
        <v>7085.152</v>
      </c>
      <c r="G17" s="4">
        <f>7394824/(1000)</f>
        <v>7394.8239999999996</v>
      </c>
      <c r="H17" s="4">
        <f>5274969/(1000)</f>
        <v>5274.9690000000001</v>
      </c>
      <c r="I17" s="4">
        <f>1861827/(1000)</f>
        <v>1861.827</v>
      </c>
      <c r="J17" s="115">
        <f t="shared" si="0"/>
        <v>34976.879999999997</v>
      </c>
      <c r="K17" s="303"/>
      <c r="L17" s="303"/>
    </row>
    <row r="18" spans="1:12" x14ac:dyDescent="0.25">
      <c r="A18" s="114" t="s">
        <v>9</v>
      </c>
      <c r="B18" s="4">
        <f>5894212/(1000)</f>
        <v>5894.2120000000004</v>
      </c>
      <c r="C18" s="4">
        <f>1477387/(1000)</f>
        <v>1477.3869999999999</v>
      </c>
      <c r="D18" s="4">
        <f>700497/(1000)</f>
        <v>700.49699999999996</v>
      </c>
      <c r="E18" s="4">
        <f>491607/(1000)</f>
        <v>491.60700000000003</v>
      </c>
      <c r="F18" s="4">
        <f>7932122/(1000)</f>
        <v>7932.1220000000003</v>
      </c>
      <c r="G18" s="4">
        <f>7588214/(1000)</f>
        <v>7588.2139999999999</v>
      </c>
      <c r="H18" s="4">
        <f>3583942/(1000)</f>
        <v>3583.942</v>
      </c>
      <c r="I18" s="4">
        <f>1035740/(1000)</f>
        <v>1035.74</v>
      </c>
      <c r="J18" s="115">
        <f t="shared" si="0"/>
        <v>28703.721000000001</v>
      </c>
      <c r="K18" s="303"/>
      <c r="L18" s="303"/>
    </row>
    <row r="19" spans="1:12" x14ac:dyDescent="0.25">
      <c r="A19" s="116" t="s">
        <v>10</v>
      </c>
      <c r="B19" s="107">
        <f>2916565/(1000)</f>
        <v>2916.5650000000001</v>
      </c>
      <c r="C19" s="107">
        <f>560066/(1000)</f>
        <v>560.06600000000003</v>
      </c>
      <c r="D19" s="107">
        <f>299848/(1000)</f>
        <v>299.84800000000001</v>
      </c>
      <c r="E19" s="107">
        <f>188843/(1000)</f>
        <v>188.84299999999999</v>
      </c>
      <c r="F19" s="107">
        <f>7021056/(1000)</f>
        <v>7021.0559999999996</v>
      </c>
      <c r="G19" s="107">
        <f>3212338/(1000)</f>
        <v>3212.3380000000002</v>
      </c>
      <c r="H19" s="107">
        <f>1388318/(1000)</f>
        <v>1388.318</v>
      </c>
      <c r="I19" s="107">
        <f>303896/(1000)</f>
        <v>303.89600000000002</v>
      </c>
      <c r="J19" s="117">
        <f t="shared" si="0"/>
        <v>15890.93</v>
      </c>
      <c r="K19" s="303"/>
      <c r="L19" s="303"/>
    </row>
    <row r="20" spans="1:12" x14ac:dyDescent="0.25">
      <c r="A20" s="110" t="s">
        <v>11</v>
      </c>
      <c r="B20" s="106"/>
      <c r="C20" s="106"/>
      <c r="D20" s="106"/>
      <c r="E20" s="106"/>
      <c r="F20" s="106"/>
      <c r="G20" s="106"/>
      <c r="H20" s="106"/>
      <c r="I20" s="106"/>
      <c r="J20" s="111"/>
    </row>
    <row r="21" spans="1:12" x14ac:dyDescent="0.25">
      <c r="A21" s="112" t="s">
        <v>12</v>
      </c>
      <c r="B21" s="105">
        <f>4668523/(1000)</f>
        <v>4668.5230000000001</v>
      </c>
      <c r="C21" s="105">
        <f>1615841/(1000)</f>
        <v>1615.8409999999999</v>
      </c>
      <c r="D21" s="105">
        <f>870711/(1000)</f>
        <v>870.71100000000001</v>
      </c>
      <c r="E21" s="105">
        <f>453801/(1000)</f>
        <v>453.80099999999999</v>
      </c>
      <c r="F21" s="105">
        <f>5094923/(1000)</f>
        <v>5094.9229999999998</v>
      </c>
      <c r="G21" s="105">
        <f>4821668/(1000)</f>
        <v>4821.6679999999997</v>
      </c>
      <c r="H21" s="105">
        <f>2536105/(1000)</f>
        <v>2536.105</v>
      </c>
      <c r="I21" s="105">
        <f>1077031/(1000)</f>
        <v>1077.0309999999999</v>
      </c>
      <c r="J21" s="113">
        <f t="shared" si="0"/>
        <v>21138.602999999996</v>
      </c>
      <c r="K21" s="303"/>
      <c r="L21" s="303"/>
    </row>
    <row r="22" spans="1:12" x14ac:dyDescent="0.25">
      <c r="A22" s="114" t="s">
        <v>13</v>
      </c>
      <c r="B22" s="4">
        <f>5133180/(1000)</f>
        <v>5133.18</v>
      </c>
      <c r="C22" s="4">
        <f>1507364/(1000)</f>
        <v>1507.364</v>
      </c>
      <c r="D22" s="4">
        <f>644543/(1000)</f>
        <v>644.54300000000001</v>
      </c>
      <c r="E22" s="4">
        <f>382748/(1000)</f>
        <v>382.74799999999999</v>
      </c>
      <c r="F22" s="4">
        <f>7239268/(1000)</f>
        <v>7239.268</v>
      </c>
      <c r="G22" s="4">
        <f>6040353/(1000)</f>
        <v>6040.3530000000001</v>
      </c>
      <c r="H22" s="4">
        <f>3422858/(1000)</f>
        <v>3422.8580000000002</v>
      </c>
      <c r="I22" s="4">
        <f>1371511/(1000)</f>
        <v>1371.511</v>
      </c>
      <c r="J22" s="115">
        <f t="shared" si="0"/>
        <v>25741.824999999997</v>
      </c>
      <c r="K22" s="303"/>
      <c r="L22" s="303"/>
    </row>
    <row r="23" spans="1:12" x14ac:dyDescent="0.25">
      <c r="A23" s="114" t="s">
        <v>14</v>
      </c>
      <c r="B23" s="4">
        <f>9580776/(1000)</f>
        <v>9580.7759999999998</v>
      </c>
      <c r="C23" s="4">
        <f>2553135/(1000)</f>
        <v>2553.1350000000002</v>
      </c>
      <c r="D23" s="4">
        <f>922743/(1000)</f>
        <v>922.74300000000005</v>
      </c>
      <c r="E23" s="4">
        <f>428852/(1000)</f>
        <v>428.85199999999998</v>
      </c>
      <c r="F23" s="4">
        <f>11802830/(1000)</f>
        <v>11802.83</v>
      </c>
      <c r="G23" s="4">
        <f>9574584/(1000)</f>
        <v>9574.5840000000007</v>
      </c>
      <c r="H23" s="4">
        <f>5787854/(1000)</f>
        <v>5787.8540000000003</v>
      </c>
      <c r="I23" s="4">
        <f>1998056/(1000)</f>
        <v>1998.056</v>
      </c>
      <c r="J23" s="115">
        <f t="shared" si="0"/>
        <v>42648.83</v>
      </c>
      <c r="K23" s="303"/>
      <c r="L23" s="303"/>
    </row>
    <row r="24" spans="1:12" x14ac:dyDescent="0.25">
      <c r="A24" s="116" t="s">
        <v>15</v>
      </c>
      <c r="B24" s="107">
        <f>7049905/(1000)</f>
        <v>7049.9049999999997</v>
      </c>
      <c r="C24" s="107">
        <f>1942613/(1000)</f>
        <v>1942.6130000000001</v>
      </c>
      <c r="D24" s="107">
        <f>770531/(1000)</f>
        <v>770.53099999999995</v>
      </c>
      <c r="E24" s="107">
        <f>341892/(1000)</f>
        <v>341.892</v>
      </c>
      <c r="F24" s="107">
        <f>6119321/(1000)</f>
        <v>6119.3209999999999</v>
      </c>
      <c r="G24" s="107">
        <f>5214176/(1000)</f>
        <v>5214.1760000000004</v>
      </c>
      <c r="H24" s="107">
        <f>2924741/(1000)</f>
        <v>2924.741</v>
      </c>
      <c r="I24" s="107">
        <f>1183352/(1000)</f>
        <v>1183.3520000000001</v>
      </c>
      <c r="J24" s="117">
        <f t="shared" si="0"/>
        <v>25546.530999999995</v>
      </c>
      <c r="K24" s="303"/>
      <c r="L24" s="303"/>
    </row>
    <row r="25" spans="1:12" x14ac:dyDescent="0.25">
      <c r="A25" s="110" t="s">
        <v>16</v>
      </c>
      <c r="B25" s="106"/>
      <c r="C25" s="106"/>
      <c r="D25" s="106"/>
      <c r="E25" s="106"/>
      <c r="F25" s="106"/>
      <c r="G25" s="106"/>
      <c r="H25" s="106"/>
      <c r="I25" s="106"/>
      <c r="J25" s="111"/>
    </row>
    <row r="26" spans="1:12" x14ac:dyDescent="0.25">
      <c r="A26" s="112" t="s">
        <v>17</v>
      </c>
      <c r="B26" s="105">
        <f>11431052/(1000)</f>
        <v>11431.052</v>
      </c>
      <c r="C26" s="105">
        <f>3163415/(1000)</f>
        <v>3163.415</v>
      </c>
      <c r="D26" s="105">
        <f>1386949/(1000)</f>
        <v>1386.9490000000001</v>
      </c>
      <c r="E26" s="105">
        <f>612445/(1000)</f>
        <v>612.44500000000005</v>
      </c>
      <c r="F26" s="105">
        <f>6928249/(1000)</f>
        <v>6928.2489999999998</v>
      </c>
      <c r="G26" s="105">
        <f>5446750/(1000)</f>
        <v>5446.75</v>
      </c>
      <c r="H26" s="105">
        <f>2921118/(1000)</f>
        <v>2921.1179999999999</v>
      </c>
      <c r="I26" s="105">
        <f>1263441/(1000)</f>
        <v>1263.441</v>
      </c>
      <c r="J26" s="113">
        <f t="shared" si="0"/>
        <v>33153.419000000002</v>
      </c>
      <c r="K26" s="303"/>
      <c r="L26" s="303"/>
    </row>
    <row r="27" spans="1:12" x14ac:dyDescent="0.25">
      <c r="A27" s="114" t="s">
        <v>39</v>
      </c>
      <c r="B27" s="4">
        <f>10613293/(1000)</f>
        <v>10613.293</v>
      </c>
      <c r="C27" s="4">
        <f>3059081/(1000)</f>
        <v>3059.0810000000001</v>
      </c>
      <c r="D27" s="4">
        <f>1212875/(1000)</f>
        <v>1212.875</v>
      </c>
      <c r="E27" s="4">
        <f>652132/(1000)</f>
        <v>652.13199999999995</v>
      </c>
      <c r="F27" s="4">
        <f>16683578/(1000)</f>
        <v>16683.578000000001</v>
      </c>
      <c r="G27" s="4">
        <f>13963903/(1000)</f>
        <v>13963.903</v>
      </c>
      <c r="H27" s="4">
        <f>7407549/(1000)</f>
        <v>7407.549</v>
      </c>
      <c r="I27" s="4">
        <f>2865443/(1000)</f>
        <v>2865.4430000000002</v>
      </c>
      <c r="J27" s="115">
        <f t="shared" si="0"/>
        <v>56457.853999999999</v>
      </c>
      <c r="K27" s="303"/>
      <c r="L27" s="303"/>
    </row>
    <row r="28" spans="1:12" x14ac:dyDescent="0.25">
      <c r="A28" s="116" t="s">
        <v>40</v>
      </c>
      <c r="B28" s="107">
        <f>4388040/(1000)</f>
        <v>4388.04</v>
      </c>
      <c r="C28" s="107">
        <f>1396458/(1000)</f>
        <v>1396.4580000000001</v>
      </c>
      <c r="D28" s="107">
        <f>608704/(1000)</f>
        <v>608.70399999999995</v>
      </c>
      <c r="E28" s="107">
        <f>342716/(1000)</f>
        <v>342.71600000000001</v>
      </c>
      <c r="F28" s="107">
        <f>6644515/(1000)</f>
        <v>6644.5150000000003</v>
      </c>
      <c r="G28" s="107">
        <f>6240128/(1000)</f>
        <v>6240.1279999999997</v>
      </c>
      <c r="H28" s="107">
        <f>4342892/(1000)</f>
        <v>4342.8919999999998</v>
      </c>
      <c r="I28" s="107">
        <f>1501066/(1000)</f>
        <v>1501.066</v>
      </c>
      <c r="J28" s="117">
        <f t="shared" si="0"/>
        <v>25464.519</v>
      </c>
      <c r="K28" s="303"/>
      <c r="L28" s="303"/>
    </row>
    <row r="29" spans="1:12" x14ac:dyDescent="0.25">
      <c r="A29" s="110" t="s">
        <v>18</v>
      </c>
      <c r="B29" s="106"/>
      <c r="C29" s="106"/>
      <c r="D29" s="106"/>
      <c r="E29" s="106"/>
      <c r="F29" s="106"/>
      <c r="G29" s="106"/>
      <c r="H29" s="106"/>
      <c r="I29" s="106"/>
      <c r="J29" s="111"/>
    </row>
    <row r="30" spans="1:12" x14ac:dyDescent="0.25">
      <c r="A30" s="112" t="s">
        <v>19</v>
      </c>
      <c r="B30" s="105">
        <f>23851825/(1000)</f>
        <v>23851.825000000001</v>
      </c>
      <c r="C30" s="105">
        <f>6808889/(1000)</f>
        <v>6808.8890000000001</v>
      </c>
      <c r="D30" s="105">
        <f>2922921/(1000)</f>
        <v>2922.9209999999998</v>
      </c>
      <c r="E30" s="105">
        <f>1477182/(1000)</f>
        <v>1477.182</v>
      </c>
      <c r="F30" s="105">
        <f>29265866/(1000)</f>
        <v>29265.866000000002</v>
      </c>
      <c r="G30" s="105">
        <f>24786356/(1000)</f>
        <v>24786.356</v>
      </c>
      <c r="H30" s="105">
        <f>14226478/(1000)</f>
        <v>14226.477999999999</v>
      </c>
      <c r="I30" s="105">
        <f>5410356/(1000)</f>
        <v>5410.3559999999998</v>
      </c>
      <c r="J30" s="113">
        <f t="shared" si="0"/>
        <v>108749.87300000001</v>
      </c>
      <c r="K30" s="303"/>
      <c r="L30" s="303"/>
    </row>
    <row r="31" spans="1:12" x14ac:dyDescent="0.25">
      <c r="A31" s="118" t="s">
        <v>20</v>
      </c>
      <c r="B31" s="4">
        <f>1784549/(1000)</f>
        <v>1784.549</v>
      </c>
      <c r="C31" s="4">
        <f>550164/(1000)</f>
        <v>550.16399999999999</v>
      </c>
      <c r="D31" s="4">
        <f>185928/(1000)</f>
        <v>185.928</v>
      </c>
      <c r="E31" s="4">
        <f>81545/(1000)</f>
        <v>81.545000000000002</v>
      </c>
      <c r="F31" s="4">
        <f>588687/(1000)</f>
        <v>588.68700000000001</v>
      </c>
      <c r="G31" s="4">
        <f>594358/(1000)</f>
        <v>594.35799999999995</v>
      </c>
      <c r="H31" s="4">
        <f>280604/(1000)</f>
        <v>280.60399999999998</v>
      </c>
      <c r="I31" s="4">
        <f>134021/(1000)</f>
        <v>134.02099999999999</v>
      </c>
      <c r="J31" s="115">
        <f t="shared" si="0"/>
        <v>4199.8559999999998</v>
      </c>
      <c r="K31" s="303"/>
      <c r="L31" s="303"/>
    </row>
    <row r="32" spans="1:12" x14ac:dyDescent="0.25">
      <c r="A32" s="119" t="s">
        <v>21</v>
      </c>
      <c r="B32" s="107">
        <f>796011/(1000)</f>
        <v>796.01099999999997</v>
      </c>
      <c r="C32" s="107">
        <f>259900/(1000)</f>
        <v>259.89999999999998</v>
      </c>
      <c r="D32" s="107">
        <f>99678/(1000)</f>
        <v>99.677999999999997</v>
      </c>
      <c r="E32" s="107">
        <f>48565/(1000)</f>
        <v>48.564999999999998</v>
      </c>
      <c r="F32" s="107">
        <f>401790/(1000)</f>
        <v>401.79</v>
      </c>
      <c r="G32" s="107">
        <f>270068/(1000)</f>
        <v>270.06799999999998</v>
      </c>
      <c r="H32" s="107">
        <f>164477/(1000)</f>
        <v>164.477</v>
      </c>
      <c r="I32" s="107">
        <f>85573/(1000)</f>
        <v>85.572999999999993</v>
      </c>
      <c r="J32" s="117">
        <f t="shared" si="0"/>
        <v>2126.0619999999999</v>
      </c>
      <c r="K32" s="303"/>
      <c r="L32" s="303"/>
    </row>
    <row r="33" spans="1:12" x14ac:dyDescent="0.25">
      <c r="A33" s="110" t="s">
        <v>48</v>
      </c>
      <c r="B33" s="106"/>
      <c r="C33" s="106"/>
      <c r="D33" s="106"/>
      <c r="E33" s="106"/>
      <c r="F33" s="106"/>
      <c r="G33" s="106"/>
      <c r="H33" s="106"/>
      <c r="I33" s="106"/>
      <c r="J33" s="111"/>
    </row>
    <row r="34" spans="1:12" x14ac:dyDescent="0.25">
      <c r="A34" s="112" t="s">
        <v>23</v>
      </c>
      <c r="B34" s="105">
        <f>1532321/(1000)</f>
        <v>1532.3209999999999</v>
      </c>
      <c r="C34" s="105">
        <f>732505/(1000)</f>
        <v>732.505</v>
      </c>
      <c r="D34" s="105">
        <f>421231/(1000)</f>
        <v>421.23099999999999</v>
      </c>
      <c r="E34" s="105">
        <f>300128/(1000)</f>
        <v>300.12799999999999</v>
      </c>
      <c r="F34" s="105">
        <f>1958927/(1000)</f>
        <v>1958.9269999999999</v>
      </c>
      <c r="G34" s="105">
        <f>3023007/(1000)</f>
        <v>3023.0070000000001</v>
      </c>
      <c r="H34" s="105">
        <f>3449579/(1000)</f>
        <v>3449.5790000000002</v>
      </c>
      <c r="I34" s="105">
        <f>1982665/(1000)</f>
        <v>1982.665</v>
      </c>
      <c r="J34" s="113">
        <f t="shared" si="0"/>
        <v>13400.363000000001</v>
      </c>
      <c r="K34" s="303"/>
      <c r="L34" s="303"/>
    </row>
    <row r="35" spans="1:12" x14ac:dyDescent="0.25">
      <c r="A35" s="114" t="s">
        <v>22</v>
      </c>
      <c r="B35" s="4">
        <f>7907504/(1000)</f>
        <v>7907.5039999999999</v>
      </c>
      <c r="C35" s="4">
        <f>2372400/(1000)</f>
        <v>2372.4</v>
      </c>
      <c r="D35" s="4">
        <f>933865/(1000)</f>
        <v>933.86500000000001</v>
      </c>
      <c r="E35" s="4">
        <f>388296/(1000)</f>
        <v>388.29599999999999</v>
      </c>
      <c r="F35" s="4">
        <f>4445359/(1000)</f>
        <v>4445.3590000000004</v>
      </c>
      <c r="G35" s="4">
        <f>5955177/(1000)</f>
        <v>5955.1769999999997</v>
      </c>
      <c r="H35" s="4">
        <f>5353791/(1000)</f>
        <v>5353.7910000000002</v>
      </c>
      <c r="I35" s="4">
        <f>2258265/(1000)</f>
        <v>2258.2649999999999</v>
      </c>
      <c r="J35" s="115">
        <f t="shared" si="0"/>
        <v>29614.657000000003</v>
      </c>
      <c r="K35" s="303"/>
      <c r="L35" s="303"/>
    </row>
    <row r="36" spans="1:12" x14ac:dyDescent="0.25">
      <c r="A36" s="114" t="s">
        <v>42</v>
      </c>
      <c r="B36" s="4">
        <f>7908985/(1000)</f>
        <v>7908.9849999999997</v>
      </c>
      <c r="C36" s="4">
        <f>1935310/(1000)</f>
        <v>1935.31</v>
      </c>
      <c r="D36" s="4">
        <f>632890/(1000)</f>
        <v>632.89</v>
      </c>
      <c r="E36" s="4">
        <f>239659/(1000)</f>
        <v>239.65899999999999</v>
      </c>
      <c r="F36" s="4">
        <f>6204869/(1000)</f>
        <v>6204.8689999999997</v>
      </c>
      <c r="G36" s="4">
        <f>4839010/(1000)</f>
        <v>4839.01</v>
      </c>
      <c r="H36" s="4">
        <f>2421881/(1000)</f>
        <v>2421.8809999999999</v>
      </c>
      <c r="I36" s="4">
        <f>756934/(1000)</f>
        <v>756.93399999999997</v>
      </c>
      <c r="J36" s="115">
        <f t="shared" si="0"/>
        <v>24939.538</v>
      </c>
      <c r="K36" s="303"/>
      <c r="L36" s="303"/>
    </row>
    <row r="37" spans="1:12" ht="15.75" thickBot="1" x14ac:dyDescent="0.3">
      <c r="A37" s="120" t="s">
        <v>41</v>
      </c>
      <c r="B37" s="5">
        <f>6420659/(1000)</f>
        <v>6420.6589999999997</v>
      </c>
      <c r="C37" s="5">
        <f>1386826/(1000)</f>
        <v>1386.826</v>
      </c>
      <c r="D37" s="5">
        <f>391998/(1000)</f>
        <v>391.99799999999999</v>
      </c>
      <c r="E37" s="5">
        <f>278756/(1000)</f>
        <v>278.75599999999997</v>
      </c>
      <c r="F37" s="5">
        <f>17647187/(1000)</f>
        <v>17647.187000000002</v>
      </c>
      <c r="G37" s="5">
        <f>11833587/(1000)</f>
        <v>11833.587</v>
      </c>
      <c r="H37" s="5">
        <f>3446308/(1000)</f>
        <v>3446.308</v>
      </c>
      <c r="I37" s="5">
        <f>632086/(1000)</f>
        <v>632.08600000000001</v>
      </c>
      <c r="J37" s="121">
        <f t="shared" si="0"/>
        <v>42037.406999999999</v>
      </c>
      <c r="K37" s="303"/>
      <c r="L37" s="303"/>
    </row>
    <row r="38" spans="1:12" x14ac:dyDescent="0.25">
      <c r="B38" s="303"/>
      <c r="C38" s="303"/>
      <c r="D38" s="303"/>
      <c r="E38" s="303"/>
      <c r="F38" s="303"/>
      <c r="G38" s="303"/>
      <c r="H38" s="303"/>
      <c r="I38" s="303"/>
      <c r="J38" s="303"/>
      <c r="K38" s="303"/>
      <c r="L38" s="303"/>
    </row>
    <row r="39" spans="1:12" x14ac:dyDescent="0.25">
      <c r="A39" s="11" t="s">
        <v>52</v>
      </c>
      <c r="B39" s="303"/>
      <c r="C39" s="303"/>
      <c r="D39" s="303"/>
      <c r="E39" s="303"/>
      <c r="F39" s="303"/>
      <c r="G39" s="303"/>
      <c r="H39" s="303"/>
      <c r="I39" s="303"/>
      <c r="J39" s="303"/>
      <c r="K39" s="303"/>
      <c r="L39" s="303"/>
    </row>
    <row r="40" spans="1:12" x14ac:dyDescent="0.25">
      <c r="A40" s="379" t="s">
        <v>34</v>
      </c>
      <c r="B40" s="379"/>
      <c r="C40" s="379"/>
      <c r="D40" s="379"/>
      <c r="E40" s="379"/>
      <c r="F40" s="379"/>
      <c r="G40" s="379"/>
      <c r="H40" s="379"/>
      <c r="I40" s="379"/>
      <c r="J40" s="379"/>
    </row>
  </sheetData>
  <mergeCells count="5">
    <mergeCell ref="B4:E4"/>
    <mergeCell ref="F4:I4"/>
    <mergeCell ref="J4:J5"/>
    <mergeCell ref="A4:A5"/>
    <mergeCell ref="A40:J4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J14" sqref="J14"/>
    </sheetView>
  </sheetViews>
  <sheetFormatPr defaultRowHeight="15" x14ac:dyDescent="0.25"/>
  <cols>
    <col min="1" max="1" width="32.7109375" customWidth="1"/>
    <col min="2" max="2" width="13.7109375" customWidth="1"/>
    <col min="3" max="3" width="9.5703125" style="8" bestFit="1" customWidth="1"/>
    <col min="4" max="4" width="15.5703125" customWidth="1"/>
    <col min="5" max="5" width="10.5703125" bestFit="1" customWidth="1"/>
  </cols>
  <sheetData>
    <row r="1" spans="1:5" x14ac:dyDescent="0.25">
      <c r="A1" s="10" t="s">
        <v>208</v>
      </c>
    </row>
    <row r="3" spans="1:5" ht="15.75" thickBot="1" x14ac:dyDescent="0.3">
      <c r="A3" t="s">
        <v>24</v>
      </c>
    </row>
    <row r="4" spans="1:5" s="8" customFormat="1" x14ac:dyDescent="0.25">
      <c r="A4" s="387"/>
      <c r="B4" s="381" t="s">
        <v>51</v>
      </c>
      <c r="C4" s="383" t="s">
        <v>50</v>
      </c>
      <c r="D4" s="384"/>
      <c r="E4" s="385" t="s">
        <v>4</v>
      </c>
    </row>
    <row r="5" spans="1:5" s="8" customFormat="1" x14ac:dyDescent="0.25">
      <c r="A5" s="388"/>
      <c r="B5" s="382"/>
      <c r="C5" s="96" t="s">
        <v>25</v>
      </c>
      <c r="D5" s="96" t="s">
        <v>26</v>
      </c>
      <c r="E5" s="386"/>
    </row>
    <row r="6" spans="1:5" x14ac:dyDescent="0.25">
      <c r="A6" s="110" t="s">
        <v>5</v>
      </c>
      <c r="B6" s="106"/>
      <c r="C6" s="106"/>
      <c r="D6" s="106"/>
      <c r="E6" s="111"/>
    </row>
    <row r="7" spans="1:5" x14ac:dyDescent="0.25">
      <c r="A7" s="112" t="s">
        <v>32</v>
      </c>
      <c r="B7" s="105">
        <f>170629/(1000)</f>
        <v>170.62899999999999</v>
      </c>
      <c r="C7" s="105">
        <f>739061/(1000)</f>
        <v>739.06100000000004</v>
      </c>
      <c r="D7" s="105">
        <f>3226512/(1000)</f>
        <v>3226.5120000000002</v>
      </c>
      <c r="E7" s="113">
        <f>3397141/(1000)</f>
        <v>3397.1410000000001</v>
      </c>
    </row>
    <row r="8" spans="1:5" x14ac:dyDescent="0.25">
      <c r="A8" s="114" t="s">
        <v>33</v>
      </c>
      <c r="B8" s="4">
        <f>120603/(1000)</f>
        <v>120.60299999999999</v>
      </c>
      <c r="C8" s="4">
        <f>101554/(1000)</f>
        <v>101.554</v>
      </c>
      <c r="D8" s="4">
        <f>693461/(1000)</f>
        <v>693.46100000000001</v>
      </c>
      <c r="E8" s="115">
        <f>814065/(1000)</f>
        <v>814.06500000000005</v>
      </c>
    </row>
    <row r="9" spans="1:5" x14ac:dyDescent="0.25">
      <c r="A9" s="114" t="s">
        <v>35</v>
      </c>
      <c r="B9" s="4">
        <f>440537/(1000)</f>
        <v>440.53699999999998</v>
      </c>
      <c r="C9" s="4">
        <f>196688/(1000)</f>
        <v>196.68799999999999</v>
      </c>
      <c r="D9" s="4">
        <f>1807127/(1000)</f>
        <v>1807.127</v>
      </c>
      <c r="E9" s="115">
        <f>2247664/(1000)</f>
        <v>2247.6640000000002</v>
      </c>
    </row>
    <row r="10" spans="1:5" x14ac:dyDescent="0.25">
      <c r="A10" s="114" t="s">
        <v>36</v>
      </c>
      <c r="B10" s="4">
        <f>328819/(1000)</f>
        <v>328.81900000000002</v>
      </c>
      <c r="C10" s="4">
        <f>73742/(1000)</f>
        <v>73.742000000000004</v>
      </c>
      <c r="D10" s="4">
        <f>1051174/(1000)</f>
        <v>1051.174</v>
      </c>
      <c r="E10" s="115">
        <f>1379993/(1000)</f>
        <v>1379.9929999999999</v>
      </c>
    </row>
    <row r="11" spans="1:5" x14ac:dyDescent="0.25">
      <c r="A11" s="114" t="s">
        <v>37</v>
      </c>
      <c r="B11" s="4">
        <f>1346987/(1000)</f>
        <v>1346.9870000000001</v>
      </c>
      <c r="C11" s="4">
        <f>216026/(1000)</f>
        <v>216.02600000000001</v>
      </c>
      <c r="D11" s="4">
        <f>2740622/(1000)</f>
        <v>2740.6219999999998</v>
      </c>
      <c r="E11" s="115">
        <f>4087609/(1000)</f>
        <v>4087.6089999999999</v>
      </c>
    </row>
    <row r="12" spans="1:5" x14ac:dyDescent="0.25">
      <c r="A12" s="116" t="s">
        <v>6</v>
      </c>
      <c r="B12" s="107">
        <f>13334/(1000)</f>
        <v>13.334</v>
      </c>
      <c r="C12" s="107">
        <f>126793/(1000)</f>
        <v>126.79300000000001</v>
      </c>
      <c r="D12" s="107">
        <f>494969/(1000)</f>
        <v>494.96899999999999</v>
      </c>
      <c r="E12" s="117">
        <f>508304/(1000)</f>
        <v>508.30399999999997</v>
      </c>
    </row>
    <row r="13" spans="1:5" x14ac:dyDescent="0.25">
      <c r="A13" s="110" t="s">
        <v>38</v>
      </c>
      <c r="B13" s="106"/>
      <c r="C13" s="106"/>
      <c r="D13" s="106"/>
      <c r="E13" s="111"/>
    </row>
    <row r="14" spans="1:5" x14ac:dyDescent="0.25">
      <c r="A14" s="112" t="s">
        <v>43</v>
      </c>
      <c r="B14" s="105">
        <f>288807/(1000)</f>
        <v>288.80700000000002</v>
      </c>
      <c r="C14" s="105">
        <f>360588/(1000)</f>
        <v>360.58800000000002</v>
      </c>
      <c r="D14" s="105">
        <f>1998905/(1000)</f>
        <v>1998.905</v>
      </c>
      <c r="E14" s="113">
        <f>2287712/(1000)</f>
        <v>2287.712</v>
      </c>
    </row>
    <row r="15" spans="1:5" x14ac:dyDescent="0.25">
      <c r="A15" s="114" t="s">
        <v>7</v>
      </c>
      <c r="B15" s="4">
        <f>293341/(1000)</f>
        <v>293.34100000000001</v>
      </c>
      <c r="C15" s="4">
        <f>284842/(1000)</f>
        <v>284.84199999999998</v>
      </c>
      <c r="D15" s="4">
        <f>1638799/(1000)</f>
        <v>1638.799</v>
      </c>
      <c r="E15" s="115">
        <f>1932140/(1000)</f>
        <v>1932.14</v>
      </c>
    </row>
    <row r="16" spans="1:5" x14ac:dyDescent="0.25">
      <c r="A16" s="114" t="s">
        <v>8</v>
      </c>
      <c r="B16" s="4">
        <f>1058793/(1000)</f>
        <v>1058.7929999999999</v>
      </c>
      <c r="C16" s="4">
        <f>491578/(1000)</f>
        <v>491.57799999999997</v>
      </c>
      <c r="D16" s="4">
        <f>3437880/(1000)</f>
        <v>3437.88</v>
      </c>
      <c r="E16" s="115">
        <f>4496673/(1000)</f>
        <v>4496.6729999999998</v>
      </c>
    </row>
    <row r="17" spans="1:10" x14ac:dyDescent="0.25">
      <c r="A17" s="114" t="s">
        <v>9</v>
      </c>
      <c r="B17" s="4">
        <f>564557/(1000)</f>
        <v>564.55700000000002</v>
      </c>
      <c r="C17" s="4">
        <f>236214/(1000)</f>
        <v>236.214</v>
      </c>
      <c r="D17" s="4">
        <f>2104934/(1000)</f>
        <v>2104.9340000000002</v>
      </c>
      <c r="E17" s="115">
        <f>2669491/(1000)</f>
        <v>2669.491</v>
      </c>
    </row>
    <row r="18" spans="1:10" x14ac:dyDescent="0.25">
      <c r="A18" s="114" t="s">
        <v>10</v>
      </c>
      <c r="B18" s="4">
        <f>215411/(1000)</f>
        <v>215.411</v>
      </c>
      <c r="C18" s="4">
        <f>80642/(1000)</f>
        <v>80.641999999999996</v>
      </c>
      <c r="D18" s="4">
        <f>833346/(1000)</f>
        <v>833.346</v>
      </c>
      <c r="E18" s="115">
        <f>1048758/(1000)</f>
        <v>1048.758</v>
      </c>
    </row>
    <row r="19" spans="1:10" ht="15.75" thickBot="1" x14ac:dyDescent="0.3">
      <c r="A19" s="120" t="s">
        <v>4</v>
      </c>
      <c r="B19" s="5">
        <f>2420910/(1000)</f>
        <v>2420.91</v>
      </c>
      <c r="C19" s="5">
        <f>1453864/(1000)</f>
        <v>1453.864</v>
      </c>
      <c r="D19" s="5">
        <f>10013865/(1000)</f>
        <v>10013.865</v>
      </c>
      <c r="E19" s="121">
        <f>12434775/(1000)</f>
        <v>12434.775</v>
      </c>
    </row>
    <row r="20" spans="1:10" x14ac:dyDescent="0.25">
      <c r="A20" s="8"/>
      <c r="B20" s="8"/>
      <c r="D20" s="8"/>
      <c r="E20" s="8"/>
    </row>
    <row r="21" spans="1:10" ht="70.5" customHeight="1" x14ac:dyDescent="0.25">
      <c r="A21" s="389" t="s">
        <v>87</v>
      </c>
      <c r="B21" s="389"/>
      <c r="C21" s="389"/>
      <c r="D21" s="389"/>
      <c r="E21" s="389"/>
    </row>
    <row r="22" spans="1:10" ht="29.25" customHeight="1" x14ac:dyDescent="0.25">
      <c r="A22" s="380" t="s">
        <v>34</v>
      </c>
      <c r="B22" s="380"/>
      <c r="C22" s="380"/>
      <c r="D22" s="380"/>
      <c r="E22" s="380"/>
      <c r="F22" s="2"/>
      <c r="G22" s="2"/>
      <c r="H22" s="2"/>
      <c r="I22" s="2"/>
      <c r="J22" s="2"/>
    </row>
  </sheetData>
  <mergeCells count="6">
    <mergeCell ref="A22:E22"/>
    <mergeCell ref="B4:B5"/>
    <mergeCell ref="C4:D4"/>
    <mergeCell ref="E4:E5"/>
    <mergeCell ref="A4:A5"/>
    <mergeCell ref="A21:E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9" workbookViewId="0">
      <selection activeCell="K18" sqref="K18"/>
    </sheetView>
  </sheetViews>
  <sheetFormatPr defaultRowHeight="15" x14ac:dyDescent="0.25"/>
  <cols>
    <col min="1" max="1" width="36" style="9" customWidth="1"/>
    <col min="2" max="7" width="13.42578125" style="9" customWidth="1"/>
    <col min="8" max="16384" width="9.140625" style="9"/>
  </cols>
  <sheetData>
    <row r="1" spans="1:7" x14ac:dyDescent="0.25">
      <c r="A1" s="10" t="s">
        <v>209</v>
      </c>
    </row>
    <row r="3" spans="1:7" x14ac:dyDescent="0.25">
      <c r="A3" s="9" t="s">
        <v>694</v>
      </c>
    </row>
    <row r="4" spans="1:7" ht="75" x14ac:dyDescent="0.25">
      <c r="A4" s="12"/>
      <c r="B4" s="253" t="s">
        <v>27</v>
      </c>
      <c r="C4" s="253" t="s">
        <v>28</v>
      </c>
      <c r="D4" s="253" t="s">
        <v>29</v>
      </c>
      <c r="E4" s="253" t="s">
        <v>30</v>
      </c>
      <c r="F4" s="253" t="s">
        <v>31</v>
      </c>
      <c r="G4" s="253" t="s">
        <v>163</v>
      </c>
    </row>
    <row r="5" spans="1:7" x14ac:dyDescent="0.25">
      <c r="A5" s="254" t="s">
        <v>0</v>
      </c>
      <c r="B5" s="255"/>
      <c r="C5" s="255"/>
      <c r="D5" s="255"/>
      <c r="E5" s="255"/>
      <c r="F5" s="255"/>
      <c r="G5" s="255"/>
    </row>
    <row r="6" spans="1:7" x14ac:dyDescent="0.25">
      <c r="A6" s="256" t="s">
        <v>44</v>
      </c>
      <c r="B6" s="13">
        <v>38.627364448936326</v>
      </c>
      <c r="C6" s="13">
        <v>78.483513713197553</v>
      </c>
      <c r="D6" s="13">
        <v>6.4503750346827644</v>
      </c>
      <c r="E6" s="13">
        <v>41.167058510415238</v>
      </c>
      <c r="F6" s="13">
        <v>5.7031857239731663</v>
      </c>
      <c r="G6" s="13">
        <v>18.780057991889763</v>
      </c>
    </row>
    <row r="7" spans="1:7" x14ac:dyDescent="0.25">
      <c r="A7" s="256" t="s">
        <v>45</v>
      </c>
      <c r="B7" s="13">
        <v>44.444467373387816</v>
      </c>
      <c r="C7" s="13">
        <v>73.151484586470332</v>
      </c>
      <c r="D7" s="13">
        <v>8.8481361635024776</v>
      </c>
      <c r="E7" s="13">
        <v>47.099128404263055</v>
      </c>
      <c r="F7" s="13">
        <v>9.8872058224486796</v>
      </c>
      <c r="G7" s="13">
        <v>23.412498423899038</v>
      </c>
    </row>
    <row r="8" spans="1:7" x14ac:dyDescent="0.25">
      <c r="A8" s="12"/>
      <c r="B8" s="12"/>
      <c r="C8" s="12"/>
      <c r="D8" s="12"/>
      <c r="E8" s="12"/>
      <c r="F8" s="12"/>
      <c r="G8" s="12"/>
    </row>
    <row r="9" spans="1:7" x14ac:dyDescent="0.25">
      <c r="A9" s="254" t="s">
        <v>5</v>
      </c>
      <c r="B9" s="257"/>
      <c r="C9" s="257"/>
      <c r="D9" s="257"/>
      <c r="E9" s="257"/>
      <c r="F9" s="257"/>
      <c r="G9" s="257"/>
    </row>
    <row r="10" spans="1:7" x14ac:dyDescent="0.25">
      <c r="A10" s="256" t="s">
        <v>53</v>
      </c>
      <c r="B10" s="13">
        <v>46.19709360274009</v>
      </c>
      <c r="C10" s="13">
        <v>75.650756309783986</v>
      </c>
      <c r="D10" s="13">
        <v>8.6313794720027808</v>
      </c>
      <c r="E10" s="13">
        <v>46.431776093521215</v>
      </c>
      <c r="F10" s="13">
        <v>9.2109815984104912</v>
      </c>
      <c r="G10" s="13">
        <v>23.378502946343005</v>
      </c>
    </row>
    <row r="11" spans="1:7" x14ac:dyDescent="0.25">
      <c r="A11" s="256" t="s">
        <v>54</v>
      </c>
      <c r="B11" s="13">
        <v>48.526612335816729</v>
      </c>
      <c r="C11" s="13">
        <v>46.823036418404968</v>
      </c>
      <c r="D11" s="13">
        <v>6.6657483190059414</v>
      </c>
      <c r="E11" s="13">
        <v>40.486015489273683</v>
      </c>
      <c r="F11" s="13">
        <v>9.9968224449522296</v>
      </c>
      <c r="G11" s="13">
        <v>17.235970412008157</v>
      </c>
    </row>
    <row r="12" spans="1:7" x14ac:dyDescent="0.25">
      <c r="A12" s="256" t="s">
        <v>55</v>
      </c>
      <c r="B12" s="13">
        <v>32.490582761121537</v>
      </c>
      <c r="C12" s="13">
        <v>73.671946441790425</v>
      </c>
      <c r="D12" s="13">
        <v>5.4733645540972038</v>
      </c>
      <c r="E12" s="13">
        <v>37.245570919770685</v>
      </c>
      <c r="F12" s="13">
        <v>4.4965901854148855</v>
      </c>
      <c r="G12" s="13">
        <v>14.7666894816781</v>
      </c>
    </row>
    <row r="13" spans="1:7" x14ac:dyDescent="0.25">
      <c r="A13" s="256" t="s">
        <v>56</v>
      </c>
      <c r="B13" s="13">
        <v>34.864954793050032</v>
      </c>
      <c r="C13" s="13">
        <v>72.452632076607713</v>
      </c>
      <c r="D13" s="13">
        <v>5.0568996451284303</v>
      </c>
      <c r="E13" s="13">
        <v>37.592664536344031</v>
      </c>
      <c r="F13" s="13">
        <v>4.8281985837523242</v>
      </c>
      <c r="G13" s="13">
        <v>14.76514837522682</v>
      </c>
    </row>
    <row r="14" spans="1:7" x14ac:dyDescent="0.25">
      <c r="A14" s="256" t="s">
        <v>57</v>
      </c>
      <c r="B14" s="13">
        <v>40.417803541945432</v>
      </c>
      <c r="C14" s="13">
        <v>81.198646659078193</v>
      </c>
      <c r="D14" s="13">
        <v>9.6496982758987961</v>
      </c>
      <c r="E14" s="13">
        <v>42.796361177275855</v>
      </c>
      <c r="F14" s="13">
        <v>9.8463224353627474</v>
      </c>
      <c r="G14" s="13">
        <v>22.841883580677312</v>
      </c>
    </row>
    <row r="15" spans="1:7" x14ac:dyDescent="0.25">
      <c r="A15" s="256" t="s">
        <v>6</v>
      </c>
      <c r="B15" s="13">
        <v>17.549262094727304</v>
      </c>
      <c r="C15" s="13">
        <v>100</v>
      </c>
      <c r="D15" s="13">
        <v>4.1181490044645956</v>
      </c>
      <c r="E15" s="13">
        <v>40.958080813579478</v>
      </c>
      <c r="F15" s="13">
        <v>2.9174979001851038</v>
      </c>
      <c r="G15" s="13">
        <v>10.181761980559818</v>
      </c>
    </row>
    <row r="16" spans="1:7" x14ac:dyDescent="0.25">
      <c r="A16" s="12"/>
      <c r="B16" s="12"/>
      <c r="C16" s="12"/>
      <c r="D16" s="12"/>
      <c r="E16" s="12"/>
      <c r="F16" s="12"/>
      <c r="G16" s="12"/>
    </row>
    <row r="17" spans="1:7" x14ac:dyDescent="0.25">
      <c r="A17" s="254" t="s">
        <v>38</v>
      </c>
      <c r="B17" s="255"/>
      <c r="C17" s="255"/>
      <c r="D17" s="255"/>
      <c r="E17" s="255"/>
      <c r="F17" s="255"/>
      <c r="G17" s="255"/>
    </row>
    <row r="18" spans="1:7" x14ac:dyDescent="0.25">
      <c r="A18" s="256" t="s">
        <v>43</v>
      </c>
      <c r="B18" s="13">
        <v>24.379717020387385</v>
      </c>
      <c r="C18" s="13">
        <v>64.439804258636173</v>
      </c>
      <c r="D18" s="13">
        <v>6.5665709164595425</v>
      </c>
      <c r="E18" s="13">
        <v>37.706039652202385</v>
      </c>
      <c r="F18" s="13">
        <v>3.7910727232319945</v>
      </c>
      <c r="G18" s="13">
        <v>9.9703625826572431</v>
      </c>
    </row>
    <row r="19" spans="1:7" x14ac:dyDescent="0.25">
      <c r="A19" s="256" t="s">
        <v>7</v>
      </c>
      <c r="B19" s="13">
        <v>37.369908959145278</v>
      </c>
      <c r="C19" s="13">
        <v>83.253161958226642</v>
      </c>
      <c r="D19" s="13">
        <v>5.0006044374395469</v>
      </c>
      <c r="E19" s="13">
        <v>41.928732697778322</v>
      </c>
      <c r="F19" s="13">
        <v>4.8985352257884998</v>
      </c>
      <c r="G19" s="13">
        <v>17.416525884229078</v>
      </c>
    </row>
    <row r="20" spans="1:7" x14ac:dyDescent="0.25">
      <c r="A20" s="256" t="s">
        <v>8</v>
      </c>
      <c r="B20" s="13">
        <v>45.192570095822596</v>
      </c>
      <c r="C20" s="13">
        <v>78.926882627571288</v>
      </c>
      <c r="D20" s="13">
        <v>5.890804855471508</v>
      </c>
      <c r="E20" s="13">
        <v>43.530187217428612</v>
      </c>
      <c r="F20" s="13">
        <v>6.3700489156898366</v>
      </c>
      <c r="G20" s="13">
        <v>20.749820087005677</v>
      </c>
    </row>
    <row r="21" spans="1:7" x14ac:dyDescent="0.25">
      <c r="A21" s="256" t="s">
        <v>9</v>
      </c>
      <c r="B21" s="13">
        <v>46.308103875750739</v>
      </c>
      <c r="C21" s="13">
        <v>75.615608054914304</v>
      </c>
      <c r="D21" s="13">
        <v>8.6502579173697338</v>
      </c>
      <c r="E21" s="13">
        <v>46.254196158706819</v>
      </c>
      <c r="F21" s="13">
        <v>9.4834417577841119</v>
      </c>
      <c r="G21" s="13">
        <v>23.576602214002214</v>
      </c>
    </row>
    <row r="22" spans="1:7" x14ac:dyDescent="0.25">
      <c r="A22" s="256" t="s">
        <v>10</v>
      </c>
      <c r="B22" s="13">
        <v>52.199769885603409</v>
      </c>
      <c r="C22" s="13">
        <v>73.861805891130416</v>
      </c>
      <c r="D22" s="13">
        <v>15.881973695669311</v>
      </c>
      <c r="E22" s="13">
        <v>51.021671260733157</v>
      </c>
      <c r="F22" s="13">
        <v>19.499080311382354</v>
      </c>
      <c r="G22" s="13">
        <v>32.743586614756367</v>
      </c>
    </row>
    <row r="23" spans="1:7" x14ac:dyDescent="0.25">
      <c r="A23" s="12"/>
      <c r="B23" s="12"/>
      <c r="C23" s="12"/>
      <c r="D23" s="12"/>
      <c r="E23" s="12"/>
      <c r="F23" s="12"/>
      <c r="G23" s="12"/>
    </row>
    <row r="24" spans="1:7" x14ac:dyDescent="0.25">
      <c r="A24" s="254" t="s">
        <v>49</v>
      </c>
      <c r="B24" s="257"/>
      <c r="C24" s="257"/>
      <c r="D24" s="257"/>
      <c r="E24" s="257"/>
      <c r="F24" s="257"/>
      <c r="G24" s="257"/>
    </row>
    <row r="25" spans="1:7" x14ac:dyDescent="0.25">
      <c r="A25" s="256" t="s">
        <v>58</v>
      </c>
      <c r="B25" s="13">
        <v>47.496368582492885</v>
      </c>
      <c r="C25" s="13">
        <v>77.008712280036008</v>
      </c>
      <c r="D25" s="13">
        <v>12.076451012927079</v>
      </c>
      <c r="E25" s="13">
        <v>40.984022158621876</v>
      </c>
      <c r="F25" s="13">
        <v>9.9440454169298818</v>
      </c>
      <c r="G25" s="13">
        <v>26.246094250188037</v>
      </c>
    </row>
    <row r="26" spans="1:7" x14ac:dyDescent="0.25">
      <c r="A26" s="256" t="s">
        <v>59</v>
      </c>
      <c r="B26" s="13">
        <v>37.257177475383642</v>
      </c>
      <c r="C26" s="13">
        <v>78.649140928681391</v>
      </c>
      <c r="D26" s="13">
        <v>5.6162538490925664</v>
      </c>
      <c r="E26" s="13">
        <v>41.204312785812526</v>
      </c>
      <c r="F26" s="13">
        <v>5.0777543721815244</v>
      </c>
      <c r="G26" s="13">
        <v>17.647989292270083</v>
      </c>
    </row>
    <row r="27" spans="1:7" x14ac:dyDescent="0.25">
      <c r="A27" s="12"/>
      <c r="B27" s="12"/>
      <c r="C27" s="12"/>
      <c r="D27" s="12"/>
      <c r="E27" s="12"/>
      <c r="F27" s="12"/>
      <c r="G27" s="12"/>
    </row>
    <row r="28" spans="1:7" x14ac:dyDescent="0.25">
      <c r="A28" s="254" t="s">
        <v>11</v>
      </c>
      <c r="B28" s="255"/>
      <c r="C28" s="255"/>
      <c r="D28" s="255"/>
      <c r="E28" s="255"/>
      <c r="F28" s="255"/>
      <c r="G28" s="255"/>
    </row>
    <row r="29" spans="1:7" x14ac:dyDescent="0.25">
      <c r="A29" s="256" t="s">
        <v>12</v>
      </c>
      <c r="B29" s="13">
        <v>31.228959581361348</v>
      </c>
      <c r="C29" s="13">
        <v>56.765145962144061</v>
      </c>
      <c r="D29" s="13">
        <v>7.2645186292299488</v>
      </c>
      <c r="E29" s="13">
        <v>36.952174525648445</v>
      </c>
      <c r="F29" s="13">
        <v>6.5256098023194209</v>
      </c>
      <c r="G29" s="13">
        <v>11.937690818652866</v>
      </c>
    </row>
    <row r="30" spans="1:7" x14ac:dyDescent="0.25">
      <c r="A30" s="256" t="s">
        <v>13</v>
      </c>
      <c r="B30" s="13">
        <v>32.410185047887367</v>
      </c>
      <c r="C30" s="13">
        <v>72.480629460173446</v>
      </c>
      <c r="D30" s="13">
        <v>8.2067041986717655</v>
      </c>
      <c r="E30" s="13">
        <v>49.208936199541256</v>
      </c>
      <c r="F30" s="13">
        <v>8.5513188935350204</v>
      </c>
      <c r="G30" s="13">
        <v>18.752549111916569</v>
      </c>
    </row>
    <row r="31" spans="1:7" x14ac:dyDescent="0.25">
      <c r="A31" s="256" t="s">
        <v>14</v>
      </c>
      <c r="B31" s="13">
        <v>48.541285409147662</v>
      </c>
      <c r="C31" s="13">
        <v>83.958569920462082</v>
      </c>
      <c r="D31" s="13">
        <v>7.801263862696314</v>
      </c>
      <c r="E31" s="13">
        <v>41.782940175179341</v>
      </c>
      <c r="F31" s="13">
        <v>6.9016529752052662</v>
      </c>
      <c r="G31" s="13">
        <v>22.637823299390618</v>
      </c>
    </row>
    <row r="32" spans="1:7" x14ac:dyDescent="0.25">
      <c r="A32" s="256" t="s">
        <v>15</v>
      </c>
      <c r="B32" s="13">
        <v>49.549271223277877</v>
      </c>
      <c r="C32" s="13">
        <v>80.906663787865412</v>
      </c>
      <c r="D32" s="13">
        <v>8.316207115348405</v>
      </c>
      <c r="E32" s="13">
        <v>48.720123764397535</v>
      </c>
      <c r="F32" s="13">
        <v>12.019757929546305</v>
      </c>
      <c r="G32" s="13">
        <v>27.696070050247179</v>
      </c>
    </row>
    <row r="33" spans="1:7" x14ac:dyDescent="0.25">
      <c r="A33" s="12"/>
      <c r="B33" s="12"/>
      <c r="C33" s="12"/>
      <c r="D33" s="12"/>
      <c r="E33" s="12"/>
      <c r="F33" s="12"/>
      <c r="G33" s="12"/>
    </row>
    <row r="34" spans="1:7" x14ac:dyDescent="0.25">
      <c r="A34" s="254" t="s">
        <v>16</v>
      </c>
      <c r="B34" s="255"/>
      <c r="C34" s="255"/>
      <c r="D34" s="255"/>
      <c r="E34" s="255"/>
      <c r="F34" s="255"/>
      <c r="G34" s="255"/>
    </row>
    <row r="35" spans="1:7" x14ac:dyDescent="0.25">
      <c r="A35" s="256" t="s">
        <v>17</v>
      </c>
      <c r="B35" s="13">
        <v>38.953551224436872</v>
      </c>
      <c r="C35" s="13">
        <v>74.042602489963301</v>
      </c>
      <c r="D35" s="13">
        <v>6.6225905023097162</v>
      </c>
      <c r="E35" s="13">
        <v>40.526652173481352</v>
      </c>
      <c r="F35" s="13">
        <v>7.1208052855661323</v>
      </c>
      <c r="G35" s="13">
        <v>18.209689802268649</v>
      </c>
    </row>
    <row r="36" spans="1:7" x14ac:dyDescent="0.25">
      <c r="A36" s="256" t="s">
        <v>39</v>
      </c>
      <c r="B36" s="13">
        <v>46.211558124049404</v>
      </c>
      <c r="C36" s="13">
        <v>72.029197426090747</v>
      </c>
      <c r="D36" s="13">
        <v>8.0953646952665554</v>
      </c>
      <c r="E36" s="13">
        <v>45.815490989294211</v>
      </c>
      <c r="F36" s="13">
        <v>9.6554384906938413</v>
      </c>
      <c r="G36" s="13">
        <v>22.812687665434723</v>
      </c>
    </row>
    <row r="37" spans="1:7" x14ac:dyDescent="0.25">
      <c r="A37" s="256" t="s">
        <v>40</v>
      </c>
      <c r="B37" s="13">
        <v>37.406525291894852</v>
      </c>
      <c r="C37" s="13">
        <v>86.25446851551655</v>
      </c>
      <c r="D37" s="13">
        <v>9.0928041748295545</v>
      </c>
      <c r="E37" s="13">
        <v>44.99046888044446</v>
      </c>
      <c r="F37" s="13">
        <v>7.0744824836858315</v>
      </c>
      <c r="G37" s="13">
        <v>20.491737678312223</v>
      </c>
    </row>
    <row r="38" spans="1:7" x14ac:dyDescent="0.25">
      <c r="A38" s="256"/>
      <c r="B38" s="13"/>
      <c r="C38" s="13"/>
      <c r="D38" s="13"/>
      <c r="E38" s="13"/>
      <c r="F38" s="13"/>
      <c r="G38" s="13"/>
    </row>
    <row r="39" spans="1:7" x14ac:dyDescent="0.25">
      <c r="A39" s="258" t="s">
        <v>4</v>
      </c>
      <c r="B39" s="13">
        <v>42.05778020368885</v>
      </c>
      <c r="C39" s="13">
        <v>75.991360878325025</v>
      </c>
      <c r="D39" s="13">
        <v>7.908552777187106</v>
      </c>
      <c r="E39" s="13">
        <v>44.111082954561908</v>
      </c>
      <c r="F39" s="13">
        <v>8.3252994693254951</v>
      </c>
      <c r="G39" s="13">
        <v>20.953658728161166</v>
      </c>
    </row>
    <row r="41" spans="1:7" x14ac:dyDescent="0.25">
      <c r="A41" s="14" t="s">
        <v>144</v>
      </c>
    </row>
    <row r="42" spans="1:7" x14ac:dyDescent="0.25">
      <c r="A42" s="15"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Sanchez-Moyano</dc:creator>
  <cp:lastModifiedBy>Donahue, Kerry E</cp:lastModifiedBy>
  <dcterms:created xsi:type="dcterms:W3CDTF">2014-01-15T19:23:37Z</dcterms:created>
  <dcterms:modified xsi:type="dcterms:W3CDTF">2014-08-25T14:21:08Z</dcterms:modified>
</cp:coreProperties>
</file>